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sca\Documents\ADB\SUTs\Jan2020 workshop\"/>
    </mc:Choice>
  </mc:AlternateContent>
  <xr:revisionPtr revIDLastSave="0" documentId="8_{1E8426E4-130C-4875-9E12-3C109A276461}" xr6:coauthVersionLast="45" xr6:coauthVersionMax="45" xr10:uidLastSave="{00000000-0000-0000-0000-000000000000}"/>
  <bookViews>
    <workbookView xWindow="-108" yWindow="-108" windowWidth="23256" windowHeight="12576" activeTab="3" xr2:uid="{F42DB6BF-E8E5-4F2D-A5D9-16135B28FE39}"/>
  </bookViews>
  <sheets>
    <sheet name="1" sheetId="1" r:id="rId1"/>
    <sheet name="2" sheetId="2" r:id="rId2"/>
    <sheet name="3" sheetId="3" r:id="rId3"/>
    <sheet name="4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9" i="4" l="1"/>
  <c r="D23" i="2" l="1"/>
  <c r="D35" i="2" l="1"/>
  <c r="D23" i="1"/>
  <c r="D30" i="2"/>
  <c r="D26" i="2"/>
  <c r="E32" i="1"/>
  <c r="E31" i="1"/>
  <c r="D22" i="1"/>
  <c r="D21" i="1"/>
  <c r="D20" i="1"/>
  <c r="D11" i="1"/>
  <c r="D10" i="1"/>
  <c r="I21" i="4" l="1"/>
  <c r="E21" i="4"/>
  <c r="D21" i="4"/>
  <c r="C21" i="4"/>
  <c r="Q21" i="4"/>
  <c r="P21" i="4"/>
  <c r="O21" i="4"/>
  <c r="N21" i="4"/>
  <c r="M21" i="4"/>
  <c r="L21" i="4"/>
  <c r="C16" i="4"/>
  <c r="Q16" i="4"/>
  <c r="P16" i="4"/>
  <c r="O16" i="4"/>
  <c r="N16" i="4"/>
  <c r="M16" i="4"/>
  <c r="L16" i="4"/>
  <c r="J6" i="4"/>
  <c r="I6" i="4"/>
  <c r="H6" i="4"/>
  <c r="G6" i="4"/>
  <c r="F6" i="4"/>
  <c r="E6" i="4"/>
  <c r="J5" i="4"/>
  <c r="J7" i="4" s="1"/>
  <c r="V59" i="4" s="1"/>
  <c r="I5" i="4"/>
  <c r="H5" i="4"/>
  <c r="G5" i="4"/>
  <c r="F5" i="4"/>
  <c r="E5" i="4"/>
  <c r="D5" i="4"/>
  <c r="I7" i="4" l="1"/>
  <c r="E7" i="4"/>
  <c r="F7" i="4"/>
  <c r="G7" i="4"/>
  <c r="H7" i="4"/>
  <c r="N12" i="4"/>
  <c r="N17" i="4" s="1"/>
  <c r="N22" i="4" s="1"/>
  <c r="N32" i="4" s="1"/>
  <c r="N59" i="4" s="1"/>
  <c r="N63" i="4" s="1"/>
  <c r="N65" i="4" s="1"/>
  <c r="L12" i="4"/>
  <c r="L17" i="4" s="1"/>
  <c r="L22" i="4" s="1"/>
  <c r="L32" i="4" s="1"/>
  <c r="J59" i="4" s="1"/>
  <c r="M12" i="4"/>
  <c r="M17" i="4" s="1"/>
  <c r="M22" i="4" s="1"/>
  <c r="M32" i="4" s="1"/>
  <c r="M63" i="4" s="1"/>
  <c r="M65" i="4" s="1"/>
  <c r="S60" i="4" l="1"/>
  <c r="M46" i="4"/>
  <c r="M49" i="4" s="1"/>
  <c r="Q12" i="4"/>
  <c r="Q17" i="4" s="1"/>
  <c r="Q22" i="4" s="1"/>
  <c r="E28" i="4" s="1"/>
  <c r="N48" i="4"/>
  <c r="N49" i="4" s="1"/>
  <c r="R62" i="4"/>
  <c r="O12" i="4"/>
  <c r="O17" i="4" s="1"/>
  <c r="O22" i="4" s="1"/>
  <c r="O32" i="4" s="1"/>
  <c r="Q59" i="4" s="1"/>
  <c r="P12" i="4"/>
  <c r="P17" i="4" s="1"/>
  <c r="P22" i="4" s="1"/>
  <c r="P32" i="4" s="1"/>
  <c r="K59" i="4" s="1"/>
  <c r="K63" i="4" s="1"/>
  <c r="K65" i="4" s="1"/>
  <c r="F28" i="4" l="1"/>
  <c r="G28" i="4"/>
  <c r="Q61" i="4"/>
  <c r="K47" i="4"/>
  <c r="K49" i="4" s="1"/>
  <c r="H28" i="4"/>
  <c r="C28" i="4"/>
  <c r="I28" i="4"/>
  <c r="D28" i="4"/>
  <c r="E25" i="3"/>
  <c r="E4" i="3"/>
  <c r="I9" i="3"/>
  <c r="R16" i="3" s="1"/>
  <c r="I10" i="3"/>
  <c r="S4" i="3" s="1"/>
  <c r="I8" i="3"/>
  <c r="I7" i="3"/>
  <c r="U4" i="3" s="1"/>
  <c r="U24" i="3" s="1"/>
  <c r="I6" i="3"/>
  <c r="T4" i="3" s="1"/>
  <c r="T23" i="3" s="1"/>
  <c r="I11" i="3"/>
  <c r="S19" i="3" l="1"/>
  <c r="S20" i="3"/>
  <c r="E42" i="3" l="1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C11" i="2"/>
  <c r="C8" i="2"/>
  <c r="C7" i="2"/>
  <c r="C11" i="1"/>
  <c r="C21" i="1"/>
  <c r="C12" i="2" s="1"/>
  <c r="C32" i="1"/>
  <c r="C31" i="1"/>
  <c r="D31" i="1"/>
  <c r="D32" i="1" s="1"/>
  <c r="D27" i="2" s="1"/>
  <c r="C10" i="1"/>
  <c r="D8" i="2"/>
  <c r="C20" i="1"/>
  <c r="D12" i="2"/>
  <c r="K27" i="2"/>
  <c r="J27" i="2"/>
  <c r="H27" i="2"/>
  <c r="G27" i="2"/>
  <c r="F27" i="2"/>
  <c r="E27" i="2"/>
  <c r="K26" i="2"/>
  <c r="J26" i="2"/>
  <c r="H26" i="2"/>
  <c r="G26" i="2"/>
  <c r="F26" i="2"/>
  <c r="E26" i="2"/>
  <c r="C14" i="2"/>
  <c r="C13" i="2"/>
  <c r="D14" i="2"/>
  <c r="I8" i="2"/>
  <c r="H8" i="2"/>
  <c r="G8" i="2"/>
  <c r="F8" i="2"/>
  <c r="E8" i="2"/>
  <c r="K7" i="2"/>
  <c r="J7" i="2"/>
  <c r="I7" i="2"/>
  <c r="H7" i="2"/>
  <c r="G7" i="2"/>
  <c r="F7" i="2"/>
  <c r="E7" i="2"/>
  <c r="D7" i="2"/>
  <c r="C23" i="1"/>
  <c r="C22" i="1"/>
  <c r="K31" i="1"/>
  <c r="K32" i="1" s="1"/>
  <c r="J31" i="1"/>
  <c r="J32" i="1" s="1"/>
  <c r="H31" i="1"/>
  <c r="H32" i="1" s="1"/>
  <c r="G31" i="1"/>
  <c r="G32" i="1" s="1"/>
  <c r="F31" i="1"/>
  <c r="F32" i="1" s="1"/>
  <c r="K10" i="1"/>
  <c r="K11" i="1" s="1"/>
  <c r="K8" i="2" s="1"/>
  <c r="J10" i="1"/>
  <c r="J11" i="1" s="1"/>
  <c r="J8" i="2" s="1"/>
  <c r="I10" i="1"/>
  <c r="I11" i="1" s="1"/>
  <c r="H10" i="1"/>
  <c r="H11" i="1" s="1"/>
  <c r="G10" i="1"/>
  <c r="G11" i="1" s="1"/>
  <c r="F10" i="1"/>
  <c r="F11" i="1" s="1"/>
  <c r="E10" i="1"/>
  <c r="E11" i="1" s="1"/>
  <c r="D18" i="2" l="1"/>
  <c r="C5" i="4" s="1"/>
  <c r="C6" i="4"/>
  <c r="D11" i="2"/>
  <c r="G18" i="2"/>
  <c r="H30" i="2"/>
  <c r="K18" i="2"/>
  <c r="E30" i="2"/>
  <c r="F30" i="2"/>
  <c r="G30" i="2"/>
  <c r="F18" i="2"/>
  <c r="H18" i="2"/>
  <c r="J30" i="2"/>
  <c r="K30" i="2"/>
  <c r="I18" i="2"/>
  <c r="H9" i="3" s="1"/>
  <c r="J18" i="2"/>
  <c r="E18" i="2"/>
  <c r="N7" i="2"/>
  <c r="D19" i="2" s="1"/>
  <c r="N8" i="2"/>
  <c r="I20" i="2" s="1"/>
  <c r="D13" i="2"/>
  <c r="K7" i="4" s="1"/>
  <c r="D6" i="4" l="1"/>
  <c r="D7" i="4" s="1"/>
  <c r="C7" i="4" s="1"/>
  <c r="J45" i="4" s="1"/>
  <c r="P45" i="4" s="1"/>
  <c r="I5" i="3"/>
  <c r="Q45" i="4"/>
  <c r="D12" i="4"/>
  <c r="I12" i="4"/>
  <c r="H7" i="3"/>
  <c r="P4" i="3" s="1"/>
  <c r="G35" i="2"/>
  <c r="H8" i="3"/>
  <c r="J8" i="3" s="1"/>
  <c r="H35" i="2"/>
  <c r="H6" i="3"/>
  <c r="O4" i="3" s="1"/>
  <c r="F35" i="2"/>
  <c r="H5" i="3"/>
  <c r="E35" i="2"/>
  <c r="H10" i="3"/>
  <c r="N4" i="3" s="1"/>
  <c r="N19" i="3" s="1"/>
  <c r="J35" i="2"/>
  <c r="M16" i="3"/>
  <c r="W16" i="3" s="1"/>
  <c r="J9" i="3"/>
  <c r="H11" i="3"/>
  <c r="J11" i="3" s="1"/>
  <c r="W25" i="3" s="1"/>
  <c r="K35" i="2"/>
  <c r="J12" i="3"/>
  <c r="H19" i="2"/>
  <c r="E32" i="2"/>
  <c r="F20" i="2"/>
  <c r="D32" i="2"/>
  <c r="G20" i="2"/>
  <c r="K32" i="2"/>
  <c r="J32" i="2"/>
  <c r="G32" i="2"/>
  <c r="F32" i="2"/>
  <c r="H32" i="2"/>
  <c r="J20" i="2"/>
  <c r="K31" i="2"/>
  <c r="E19" i="2"/>
  <c r="E36" i="2" s="1"/>
  <c r="J31" i="2"/>
  <c r="H31" i="2"/>
  <c r="D31" i="2"/>
  <c r="D36" i="2" s="1"/>
  <c r="K19" i="2"/>
  <c r="G31" i="2"/>
  <c r="E31" i="2"/>
  <c r="F31" i="2"/>
  <c r="G19" i="2"/>
  <c r="F19" i="2"/>
  <c r="F36" i="2" s="1"/>
  <c r="K20" i="2"/>
  <c r="E20" i="2"/>
  <c r="H20" i="2"/>
  <c r="I19" i="2"/>
  <c r="J19" i="2"/>
  <c r="D20" i="2"/>
  <c r="D37" i="2" s="1"/>
  <c r="C12" i="4" l="1"/>
  <c r="R12" i="4" s="1"/>
  <c r="M19" i="3"/>
  <c r="M5" i="3"/>
  <c r="H37" i="2"/>
  <c r="R45" i="4"/>
  <c r="R14" i="3"/>
  <c r="R4" i="3"/>
  <c r="R12" i="3"/>
  <c r="R18" i="3"/>
  <c r="R10" i="3"/>
  <c r="R19" i="3"/>
  <c r="R17" i="3"/>
  <c r="R21" i="3"/>
  <c r="R5" i="3"/>
  <c r="R13" i="3"/>
  <c r="R22" i="3"/>
  <c r="R11" i="3"/>
  <c r="R20" i="3"/>
  <c r="R9" i="3"/>
  <c r="R7" i="3"/>
  <c r="R8" i="3"/>
  <c r="R15" i="3"/>
  <c r="R6" i="3"/>
  <c r="D17" i="4"/>
  <c r="D22" i="4" s="1"/>
  <c r="D32" i="4" s="1"/>
  <c r="D59" i="4" s="1"/>
  <c r="E17" i="4"/>
  <c r="E22" i="4" s="1"/>
  <c r="E32" i="4" s="1"/>
  <c r="E59" i="4" s="1"/>
  <c r="F17" i="4"/>
  <c r="I17" i="4"/>
  <c r="I22" i="4" s="1"/>
  <c r="I32" i="4" s="1"/>
  <c r="I59" i="4" s="1"/>
  <c r="J17" i="4"/>
  <c r="J5" i="3"/>
  <c r="M6" i="3"/>
  <c r="G36" i="2"/>
  <c r="G37" i="2"/>
  <c r="F37" i="2"/>
  <c r="W27" i="3"/>
  <c r="J36" i="2"/>
  <c r="O23" i="3"/>
  <c r="W23" i="3" s="1"/>
  <c r="J6" i="3"/>
  <c r="J37" i="2"/>
  <c r="K36" i="2"/>
  <c r="H36" i="2"/>
  <c r="E37" i="2"/>
  <c r="K37" i="2"/>
  <c r="J10" i="3"/>
  <c r="J7" i="3"/>
  <c r="P24" i="3"/>
  <c r="W24" i="3" s="1"/>
  <c r="M10" i="3"/>
  <c r="M9" i="3"/>
  <c r="M18" i="3"/>
  <c r="W18" i="3" s="1"/>
  <c r="M17" i="3"/>
  <c r="M11" i="3"/>
  <c r="M13" i="3"/>
  <c r="M8" i="3"/>
  <c r="M20" i="3"/>
  <c r="M22" i="3"/>
  <c r="M12" i="3"/>
  <c r="M7" i="3"/>
  <c r="M21" i="3"/>
  <c r="M15" i="3"/>
  <c r="M14" i="3"/>
  <c r="W12" i="3" l="1"/>
  <c r="W22" i="3"/>
  <c r="W13" i="3"/>
  <c r="J4" i="3"/>
  <c r="W6" i="3"/>
  <c r="M4" i="3"/>
  <c r="W21" i="3"/>
  <c r="C17" i="4"/>
  <c r="C22" i="4" s="1"/>
  <c r="W8" i="3"/>
  <c r="W14" i="3"/>
  <c r="W15" i="3"/>
  <c r="W9" i="3"/>
  <c r="W11" i="3"/>
  <c r="W10" i="3"/>
  <c r="W7" i="3"/>
  <c r="W17" i="3"/>
  <c r="K22" i="4"/>
  <c r="K32" i="4" s="1"/>
  <c r="O59" i="4" s="1"/>
  <c r="J22" i="4"/>
  <c r="J32" i="4" s="1"/>
  <c r="L59" i="4" s="1"/>
  <c r="H22" i="4"/>
  <c r="H32" i="4" s="1"/>
  <c r="H59" i="4" s="1"/>
  <c r="G22" i="4"/>
  <c r="G32" i="4" s="1"/>
  <c r="G59" i="4" s="1"/>
  <c r="F22" i="4"/>
  <c r="F32" i="4" s="1"/>
  <c r="F59" i="4" s="1"/>
  <c r="W19" i="3"/>
  <c r="N20" i="3"/>
  <c r="W20" i="3" s="1"/>
  <c r="W5" i="3"/>
  <c r="R17" i="4" l="1"/>
  <c r="C32" i="4"/>
  <c r="R22" i="4"/>
  <c r="W4" i="3"/>
  <c r="C59" i="4" l="1"/>
  <c r="P59" i="4" s="1"/>
  <c r="W59" i="4" s="1"/>
  <c r="R32" i="4"/>
</calcChain>
</file>

<file path=xl/sharedStrings.xml><?xml version="1.0" encoding="utf-8"?>
<sst xmlns="http://schemas.openxmlformats.org/spreadsheetml/2006/main" count="319" uniqueCount="135">
  <si>
    <t>Non-financial corporations</t>
  </si>
  <si>
    <t xml:space="preserve">Other financial corporations </t>
  </si>
  <si>
    <t xml:space="preserve">General government </t>
  </si>
  <si>
    <t xml:space="preserve"> Households </t>
  </si>
  <si>
    <t xml:space="preserve">of which: dwelling loans </t>
  </si>
  <si>
    <t>NPISHs</t>
  </si>
  <si>
    <t xml:space="preserve"> Rest of the world </t>
  </si>
  <si>
    <t>Stock of loans granted on 1 January</t>
  </si>
  <si>
    <t>Interest receivable on loans</t>
  </si>
  <si>
    <t xml:space="preserve">Interest payable on deposits </t>
  </si>
  <si>
    <t xml:space="preserve">Stock of loans granted on 31 December </t>
  </si>
  <si>
    <t>Average stock of loans</t>
  </si>
  <si>
    <t>Average interest rate on loans</t>
  </si>
  <si>
    <t xml:space="preserve">Stock of deposits held on 1 January </t>
  </si>
  <si>
    <t>Stock of deposits held on 31 December</t>
  </si>
  <si>
    <t>Average stock of deposits</t>
  </si>
  <si>
    <t>Average interest rate on deposits</t>
  </si>
  <si>
    <t>FISIM on loans</t>
  </si>
  <si>
    <t>FISIM on deposits</t>
  </si>
  <si>
    <t>Loans granted by non-resident deposit-taking corporations to resident non-financial corporations</t>
  </si>
  <si>
    <t>Loans granted by resident deposit-taking corporations to resident non-financial corporations</t>
  </si>
  <si>
    <t xml:space="preserve">Stock of loans granted in foreign currency on 1 January </t>
  </si>
  <si>
    <t>Stock of loans granted in foreign currency on 31 December</t>
  </si>
  <si>
    <t>Interest payable on loans in foreign currency</t>
  </si>
  <si>
    <t>Average interest rate on loans in foreign currency</t>
  </si>
  <si>
    <t>Average stock on loans in foreign currency</t>
  </si>
  <si>
    <t xml:space="preserve">1.3 local currency units for 1 foreign currency unit </t>
  </si>
  <si>
    <t xml:space="preserve">Reference rate in foreign country (rrF ) </t>
  </si>
  <si>
    <t xml:space="preserve">Exchange rate </t>
  </si>
  <si>
    <t>Interest payable in local currency on loans</t>
  </si>
  <si>
    <t>Total</t>
  </si>
  <si>
    <t>Average stock of loans in local currency</t>
  </si>
  <si>
    <t>Reference Rate</t>
  </si>
  <si>
    <t>Simple Average</t>
  </si>
  <si>
    <t>Weighted Average</t>
  </si>
  <si>
    <t>Interbank lending rate</t>
  </si>
  <si>
    <t>Loans</t>
  </si>
  <si>
    <t>Deposits</t>
  </si>
  <si>
    <t>Estimate FISIM on loans and FISIM on deposits</t>
  </si>
  <si>
    <t xml:space="preserve">Simple Average </t>
  </si>
  <si>
    <t>Lending rate -  Reference rate in foreign country</t>
  </si>
  <si>
    <t>TOTAL FISIM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</si>
  <si>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</si>
  <si>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</si>
  <si>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</si>
  <si>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</si>
  <si>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</si>
  <si>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</si>
  <si>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 xml:space="preserve">Wholesale and retail trade; repair of motor vehicles and motorcycles </t>
  </si>
  <si>
    <t>Transportation and storage</t>
  </si>
  <si>
    <t>Accommodation and food service activities</t>
  </si>
  <si>
    <t>Real estate activities</t>
  </si>
  <si>
    <t>Professional, scientific and technical activities</t>
  </si>
  <si>
    <t>Administrative and support service activities</t>
  </si>
  <si>
    <t>Human health and social work activities</t>
  </si>
  <si>
    <t>Arts, entertainment and recreation</t>
  </si>
  <si>
    <t>Other service activities</t>
  </si>
  <si>
    <t>Information and communication</t>
  </si>
  <si>
    <t>Education</t>
  </si>
  <si>
    <t>on 31 December</t>
  </si>
  <si>
    <t>Loans granted to broad industry groups</t>
  </si>
  <si>
    <t xml:space="preserve"> on 1 January</t>
  </si>
  <si>
    <t>Deposits held by broad industry groups</t>
  </si>
  <si>
    <t>Average stock</t>
  </si>
  <si>
    <t>Compute average stock by broad industry group</t>
  </si>
  <si>
    <t>Non Financial</t>
  </si>
  <si>
    <t>NPISH Sector</t>
  </si>
  <si>
    <t>Financial</t>
  </si>
  <si>
    <t>Government</t>
  </si>
  <si>
    <t>FISIM Estimation</t>
  </si>
  <si>
    <t>FISIM on Loans</t>
  </si>
  <si>
    <t>FISIM on Deposits</t>
  </si>
  <si>
    <t>FISIM</t>
  </si>
  <si>
    <t xml:space="preserve">Households </t>
  </si>
  <si>
    <t xml:space="preserve">Rest of the world </t>
  </si>
  <si>
    <t>Imports of FISIM</t>
  </si>
  <si>
    <t>TOTAL</t>
  </si>
  <si>
    <t>Allocate FISIM by broad industry group</t>
  </si>
  <si>
    <t xml:space="preserve">dwelling loans </t>
  </si>
  <si>
    <t>Households</t>
  </si>
  <si>
    <t>Financial and Insurance Activities</t>
  </si>
  <si>
    <t>Public Administration</t>
  </si>
  <si>
    <t>Exports</t>
  </si>
  <si>
    <t>Estimate average stock on loans, average stock on deposits, average interest rate on loans, and average interest rate on deposits</t>
  </si>
  <si>
    <t>Assuming Central Bank has data on stocks of loans and deposits by industry group</t>
  </si>
  <si>
    <t>Assuming Central Bank does not have detailed data on stocks of loans and deposits by industry</t>
  </si>
  <si>
    <t>AGRI</t>
  </si>
  <si>
    <t>MANUFACTURING</t>
  </si>
  <si>
    <t>SERVICES</t>
  </si>
  <si>
    <t>FINANCIAL</t>
  </si>
  <si>
    <t>GEN GOV</t>
  </si>
  <si>
    <t>NPISH</t>
  </si>
  <si>
    <t>CONSUMER</t>
  </si>
  <si>
    <t>MORTGAGE</t>
  </si>
  <si>
    <t>ENTERPRENUR</t>
  </si>
  <si>
    <t>FISIM DISTRIBUTION BY ACTIVITY</t>
  </si>
  <si>
    <t>STOCK OF LOANS BY ACTIVITY</t>
  </si>
  <si>
    <t>TRANSPORT</t>
  </si>
  <si>
    <t>OTHER SERVICES</t>
  </si>
  <si>
    <t xml:space="preserve">FISIM DISTRIBUTION </t>
  </si>
  <si>
    <t>CREDITS BY ACTIVITY</t>
  </si>
  <si>
    <t>PROCESSED FOOD</t>
  </si>
  <si>
    <t>PROCESSED FRUITS AND VEG</t>
  </si>
  <si>
    <t>OTHER  MANUFACTURING</t>
  </si>
  <si>
    <t>BASED ON INTEREST PAYMENT FROM BUSINESS SURVEY, GVA AND GO)</t>
  </si>
  <si>
    <t>FURNITURE</t>
  </si>
  <si>
    <t>TEXTILE</t>
  </si>
  <si>
    <t>BUSINESS</t>
  </si>
  <si>
    <t>OTHER MFG</t>
  </si>
  <si>
    <t>SMALL ENTERPRISE LOANS</t>
  </si>
  <si>
    <t>FISIM ALLOCATION</t>
  </si>
  <si>
    <t>Supply Table</t>
  </si>
  <si>
    <t>AGRI PRODUCTS</t>
  </si>
  <si>
    <t>MINING PRODUCTS</t>
  </si>
  <si>
    <t>FOOD</t>
  </si>
  <si>
    <t>TRANSP</t>
  </si>
  <si>
    <t>FINANCIAL SERVICES</t>
  </si>
  <si>
    <t>PUBLIC ADM</t>
  </si>
  <si>
    <t>OWNERSHIP OF DWELLINGS</t>
  </si>
  <si>
    <t>TOTAL USE</t>
  </si>
  <si>
    <t>GVA</t>
  </si>
  <si>
    <t>TOTAL OUTPUT</t>
  </si>
  <si>
    <t>Use Table</t>
  </si>
  <si>
    <t>TOTAL IC</t>
  </si>
  <si>
    <t>HFCE</t>
  </si>
  <si>
    <t>GFCE</t>
  </si>
  <si>
    <t>GFCF</t>
  </si>
  <si>
    <t>CII</t>
  </si>
  <si>
    <t>TOTAL DOMESTIC SUPPLY</t>
  </si>
  <si>
    <t>IMPORTS</t>
  </si>
  <si>
    <t>TOTAL SUPPLY</t>
  </si>
  <si>
    <t>EXPORTS</t>
  </si>
  <si>
    <t>PUBLIC AD</t>
  </si>
  <si>
    <t>MAPPING TO SUPPLY AND USE TABLES</t>
  </si>
  <si>
    <t>ACTIVITIES OF NON-PROFIT SERVING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</si>
</sst>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222222"/>
      <name val="Calibri"/>
      <family val="2"/>
      <scheme val="minor"/>
    </font>
    <font>
      <sz val="11"/>
      <color rgb="FF222222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Border="1"/>
    <xf numFmtId="164" fontId="4" fillId="0" borderId="1" xfId="0" applyNumberFormat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2" borderId="3" xfId="0" applyFont="1" applyFill="1" applyBorder="1"/>
    <xf numFmtId="0" fontId="3" fillId="0" borderId="3" xfId="0" applyFont="1" applyBorder="1"/>
    <xf numFmtId="0" fontId="0" fillId="0" borderId="2" xfId="0" quotePrefix="1" applyBorder="1"/>
    <xf numFmtId="0" fontId="4" fillId="0" borderId="3" xfId="0" applyFont="1" applyBorder="1"/>
    <xf numFmtId="0" fontId="0" fillId="2" borderId="0" xfId="0" applyFill="1"/>
    <xf numFmtId="0" fontId="0" fillId="2" borderId="2" xfId="0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3" fontId="0" fillId="0" borderId="0" xfId="1" applyFont="1"/>
    <xf numFmtId="43" fontId="0" fillId="2" borderId="0" xfId="1" applyFont="1" applyFill="1"/>
    <xf numFmtId="164" fontId="0" fillId="2" borderId="0" xfId="0" applyNumberFormat="1" applyFill="1"/>
    <xf numFmtId="0" fontId="0" fillId="3" borderId="2" xfId="0" quotePrefix="1" applyFill="1" applyBorder="1"/>
    <xf numFmtId="0" fontId="0" fillId="3" borderId="3" xfId="0" applyFill="1" applyBorder="1"/>
    <xf numFmtId="0" fontId="0" fillId="3" borderId="1" xfId="0" applyFill="1" applyBorder="1"/>
    <xf numFmtId="164" fontId="0" fillId="0" borderId="1" xfId="0" applyNumberFormat="1" applyBorder="1"/>
    <xf numFmtId="165" fontId="0" fillId="0" borderId="0" xfId="1" applyNumberFormat="1" applyFont="1"/>
    <xf numFmtId="0" fontId="0" fillId="2" borderId="6" xfId="0" applyFill="1" applyBorder="1" applyAlignment="1">
      <alignment wrapText="1"/>
    </xf>
    <xf numFmtId="0" fontId="0" fillId="0" borderId="1" xfId="0" applyFont="1" applyBorder="1"/>
    <xf numFmtId="0" fontId="0" fillId="0" borderId="3" xfId="0" applyFont="1" applyBorder="1"/>
    <xf numFmtId="0" fontId="2" fillId="0" borderId="3" xfId="0" applyFont="1" applyBorder="1"/>
    <xf numFmtId="2" fontId="0" fillId="0" borderId="0" xfId="0" applyNumberFormat="1"/>
    <xf numFmtId="0" fontId="2" fillId="0" borderId="1" xfId="0" applyFont="1" applyBorder="1"/>
    <xf numFmtId="2" fontId="0" fillId="0" borderId="1" xfId="0" applyNumberFormat="1" applyBorder="1"/>
    <xf numFmtId="0" fontId="0" fillId="2" borderId="1" xfId="0" applyFill="1" applyBorder="1"/>
    <xf numFmtId="2" fontId="2" fillId="2" borderId="1" xfId="0" applyNumberFormat="1" applyFont="1" applyFill="1" applyBorder="1"/>
    <xf numFmtId="0" fontId="2" fillId="2" borderId="1" xfId="0" applyFont="1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4" borderId="1" xfId="0" applyFill="1" applyBorder="1"/>
    <xf numFmtId="2" fontId="2" fillId="0" borderId="1" xfId="0" applyNumberFormat="1" applyFont="1" applyBorder="1"/>
    <xf numFmtId="2" fontId="0" fillId="0" borderId="1" xfId="0" quotePrefix="1" applyNumberFormat="1" applyBorder="1"/>
    <xf numFmtId="0" fontId="0" fillId="10" borderId="1" xfId="0" applyFill="1" applyBorder="1"/>
    <xf numFmtId="0" fontId="0" fillId="5" borderId="1" xfId="0" applyFont="1" applyFill="1" applyBorder="1"/>
    <xf numFmtId="0" fontId="0" fillId="6" borderId="1" xfId="0" applyFont="1" applyFill="1" applyBorder="1"/>
    <xf numFmtId="0" fontId="0" fillId="7" borderId="1" xfId="0" applyFont="1" applyFill="1" applyBorder="1"/>
    <xf numFmtId="2" fontId="0" fillId="0" borderId="1" xfId="0" applyNumberFormat="1" applyFont="1" applyBorder="1"/>
    <xf numFmtId="0" fontId="0" fillId="8" borderId="1" xfId="0" applyFont="1" applyFill="1" applyBorder="1"/>
    <xf numFmtId="0" fontId="0" fillId="9" borderId="1" xfId="0" applyFont="1" applyFill="1" applyBorder="1"/>
    <xf numFmtId="0" fontId="5" fillId="0" borderId="3" xfId="0" applyFont="1" applyBorder="1"/>
    <xf numFmtId="0" fontId="6" fillId="0" borderId="3" xfId="0" applyFont="1" applyBorder="1"/>
    <xf numFmtId="0" fontId="5" fillId="0" borderId="1" xfId="0" applyFont="1" applyBorder="1"/>
    <xf numFmtId="164" fontId="5" fillId="0" borderId="1" xfId="0" applyNumberFormat="1" applyFont="1" applyBorder="1"/>
    <xf numFmtId="0" fontId="7" fillId="0" borderId="0" xfId="0" applyFont="1"/>
    <xf numFmtId="0" fontId="4" fillId="0" borderId="0" xfId="0" applyFont="1"/>
    <xf numFmtId="0" fontId="5" fillId="2" borderId="0" xfId="0" applyFont="1" applyFill="1"/>
    <xf numFmtId="0" fontId="5" fillId="0" borderId="0" xfId="0" applyFont="1"/>
    <xf numFmtId="0" fontId="0" fillId="0" borderId="0" xfId="0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0" fillId="5" borderId="2" xfId="0" applyNumberFormat="1" applyFont="1" applyFill="1" applyBorder="1" applyAlignment="1">
      <alignment horizontal="right" wrapText="1" indent="1"/>
    </xf>
    <xf numFmtId="0" fontId="8" fillId="0" borderId="0" xfId="0" applyFont="1"/>
    <xf numFmtId="2" fontId="0" fillId="0" borderId="2" xfId="0" applyNumberFormat="1" applyFont="1" applyFill="1" applyBorder="1" applyAlignment="1">
      <alignment horizontal="right" wrapText="1" indent="1"/>
    </xf>
    <xf numFmtId="0" fontId="0" fillId="0" borderId="1" xfId="0" applyFont="1" applyFill="1" applyBorder="1"/>
    <xf numFmtId="2" fontId="0" fillId="0" borderId="1" xfId="0" applyNumberFormat="1" applyFill="1" applyBorder="1"/>
    <xf numFmtId="2" fontId="0" fillId="5" borderId="1" xfId="0" applyNumberFormat="1" applyFont="1" applyFill="1" applyBorder="1"/>
    <xf numFmtId="0" fontId="8" fillId="11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 wrapText="1"/>
    </xf>
    <xf numFmtId="1" fontId="0" fillId="0" borderId="1" xfId="0" applyNumberFormat="1" applyBorder="1"/>
    <xf numFmtId="1" fontId="1" fillId="12" borderId="1" xfId="1" applyNumberFormat="1" applyFont="1" applyFill="1" applyBorder="1"/>
    <xf numFmtId="166" fontId="1" fillId="12" borderId="1" xfId="1" applyNumberFormat="1" applyFont="1" applyFill="1" applyBorder="1" applyAlignment="1">
      <alignment horizontal="center" wrapText="1"/>
    </xf>
    <xf numFmtId="166" fontId="1" fillId="12" borderId="1" xfId="1" applyNumberFormat="1" applyFont="1" applyFill="1" applyBorder="1" applyAlignment="1"/>
    <xf numFmtId="2" fontId="0" fillId="0" borderId="6" xfId="0" applyNumberFormat="1" applyBorder="1"/>
    <xf numFmtId="0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right" vertical="center"/>
    </xf>
    <xf numFmtId="0" fontId="10" fillId="12" borderId="1" xfId="0" applyFont="1" applyFill="1" applyBorder="1" applyAlignment="1">
      <alignment horizontal="right" vertical="center" wrapText="1"/>
    </xf>
    <xf numFmtId="0" fontId="1" fillId="12" borderId="1" xfId="0" applyFont="1" applyFill="1" applyBorder="1" applyAlignment="1">
      <alignment horizontal="right" vertical="center"/>
    </xf>
    <xf numFmtId="2" fontId="0" fillId="5" borderId="1" xfId="0" applyNumberFormat="1" applyFont="1" applyFill="1" applyBorder="1" applyAlignment="1"/>
    <xf numFmtId="0" fontId="10" fillId="12" borderId="0" xfId="0" applyFont="1" applyFill="1" applyAlignment="1">
      <alignment horizontal="right" vertical="center" wrapText="1" indent="1"/>
    </xf>
    <xf numFmtId="2" fontId="0" fillId="13" borderId="1" xfId="0" applyNumberFormat="1" applyFill="1" applyBorder="1"/>
    <xf numFmtId="0" fontId="0" fillId="11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43" fontId="0" fillId="0" borderId="1" xfId="1" applyFont="1" applyBorder="1"/>
    <xf numFmtId="0" fontId="0" fillId="12" borderId="1" xfId="0" applyFont="1" applyFill="1" applyBorder="1"/>
    <xf numFmtId="2" fontId="0" fillId="12" borderId="1" xfId="0" applyNumberFormat="1" applyFont="1" applyFill="1" applyBorder="1"/>
    <xf numFmtId="2" fontId="2" fillId="12" borderId="1" xfId="0" applyNumberFormat="1" applyFont="1" applyFill="1" applyBorder="1"/>
    <xf numFmtId="2" fontId="0" fillId="12" borderId="1" xfId="0" applyNumberFormat="1" applyFill="1" applyBorder="1"/>
    <xf numFmtId="0" fontId="2" fillId="6" borderId="1" xfId="0" applyFont="1" applyFill="1" applyBorder="1"/>
    <xf numFmtId="0" fontId="0" fillId="14" borderId="1" xfId="0" applyFill="1" applyBorder="1"/>
    <xf numFmtId="2" fontId="0" fillId="15" borderId="1" xfId="0" applyNumberFormat="1" applyFill="1" applyBorder="1"/>
    <xf numFmtId="0" fontId="0" fillId="16" borderId="1" xfId="0" applyFill="1" applyBorder="1"/>
    <xf numFmtId="0" fontId="2" fillId="14" borderId="1" xfId="0" applyFont="1" applyFill="1" applyBorder="1"/>
    <xf numFmtId="0" fontId="2" fillId="15" borderId="1" xfId="0" applyFont="1" applyFill="1" applyBorder="1"/>
    <xf numFmtId="0" fontId="2" fillId="16" borderId="1" xfId="0" applyFont="1" applyFill="1" applyBorder="1"/>
    <xf numFmtId="0" fontId="8" fillId="11" borderId="2" xfId="0" applyFont="1" applyFill="1" applyBorder="1" applyAlignment="1">
      <alignment horizontal="center" vertical="center"/>
    </xf>
    <xf numFmtId="0" fontId="8" fillId="11" borderId="7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166" fontId="1" fillId="12" borderId="1" xfId="1" applyNumberFormat="1" applyFont="1" applyFill="1" applyBorder="1" applyAlignment="1"/>
    <xf numFmtId="166" fontId="1" fillId="12" borderId="1" xfId="1" applyNumberFormat="1" applyFont="1" applyFill="1" applyBorder="1" applyAlignment="1">
      <alignment horizontal="center" wrapText="1"/>
    </xf>
    <xf numFmtId="2" fontId="0" fillId="5" borderId="2" xfId="0" applyNumberFormat="1" applyFont="1" applyFill="1" applyBorder="1" applyAlignment="1">
      <alignment horizontal="right" indent="1"/>
    </xf>
    <xf numFmtId="2" fontId="0" fillId="5" borderId="7" xfId="0" applyNumberFormat="1" applyFont="1" applyFill="1" applyBorder="1" applyAlignment="1">
      <alignment horizontal="right" indent="1"/>
    </xf>
    <xf numFmtId="2" fontId="0" fillId="5" borderId="2" xfId="0" applyNumberFormat="1" applyFont="1" applyFill="1" applyBorder="1" applyAlignment="1">
      <alignment horizontal="center" wrapText="1"/>
    </xf>
    <xf numFmtId="2" fontId="0" fillId="5" borderId="7" xfId="0" applyNumberFormat="1" applyFont="1" applyFill="1" applyBorder="1" applyAlignment="1">
      <alignment horizontal="center" wrapText="1"/>
    </xf>
    <xf numFmtId="1" fontId="1" fillId="12" borderId="1" xfId="1" applyNumberFormat="1" applyFont="1" applyFill="1" applyBorder="1" applyAlignment="1">
      <alignment horizontal="center"/>
    </xf>
    <xf numFmtId="0" fontId="9" fillId="11" borderId="2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center" vertical="center" wrapText="1"/>
    </xf>
    <xf numFmtId="2" fontId="0" fillId="5" borderId="1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1</xdr:rowOff>
    </xdr:from>
    <xdr:to>
      <xdr:col>7</xdr:col>
      <xdr:colOff>198120</xdr:colOff>
      <xdr:row>2</xdr:row>
      <xdr:rowOff>173895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E8B831-9260-4CDC-A16A-77F6F8543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51861" y="1"/>
          <a:ext cx="4023359" cy="5396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8</xdr:row>
      <xdr:rowOff>7620</xdr:rowOff>
    </xdr:from>
    <xdr:to>
      <xdr:col>10</xdr:col>
      <xdr:colOff>769620</xdr:colOff>
      <xdr:row>10</xdr:row>
      <xdr:rowOff>152400</xdr:rowOff>
    </xdr:to>
    <xdr:sp macro="" textlink="">
      <xdr:nvSpPr>
        <xdr:cNvPr id="3" name="Left Brace 2">
          <a:extLst>
            <a:ext uri="{FF2B5EF4-FFF2-40B4-BE49-F238E27FC236}">
              <a16:creationId xmlns:a16="http://schemas.microsoft.com/office/drawing/2014/main" id="{BC6199E0-2C69-4596-B209-0870625EB546}"/>
            </a:ext>
          </a:extLst>
        </xdr:cNvPr>
        <xdr:cNvSpPr/>
      </xdr:nvSpPr>
      <xdr:spPr>
        <a:xfrm rot="5400000">
          <a:off x="5730240" y="-1630680"/>
          <a:ext cx="510540" cy="7444740"/>
        </a:xfrm>
        <a:prstGeom prst="leftBrace">
          <a:avLst>
            <a:gd name="adj1" fmla="val 8333"/>
            <a:gd name="adj2" fmla="val 84319"/>
          </a:avLst>
        </a:prstGeom>
        <a:ln w="381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PH" sz="1100"/>
        </a:p>
      </xdr:txBody>
    </xdr:sp>
    <xdr:clientData/>
  </xdr:twoCellAnchor>
  <xdr:twoCellAnchor>
    <xdr:from>
      <xdr:col>14</xdr:col>
      <xdr:colOff>335280</xdr:colOff>
      <xdr:row>9</xdr:row>
      <xdr:rowOff>167640</xdr:rowOff>
    </xdr:from>
    <xdr:to>
      <xdr:col>16</xdr:col>
      <xdr:colOff>693420</xdr:colOff>
      <xdr:row>11</xdr:row>
      <xdr:rowOff>7620</xdr:rowOff>
    </xdr:to>
    <xdr:sp macro="" textlink="">
      <xdr:nvSpPr>
        <xdr:cNvPr id="6" name="Left Brace 5">
          <a:extLst>
            <a:ext uri="{FF2B5EF4-FFF2-40B4-BE49-F238E27FC236}">
              <a16:creationId xmlns:a16="http://schemas.microsoft.com/office/drawing/2014/main" id="{F0ECA04A-A3C5-4E04-958F-44BEB1F6AF12}"/>
            </a:ext>
          </a:extLst>
        </xdr:cNvPr>
        <xdr:cNvSpPr/>
      </xdr:nvSpPr>
      <xdr:spPr>
        <a:xfrm rot="5400000">
          <a:off x="13197840" y="1287780"/>
          <a:ext cx="205740" cy="1988820"/>
        </a:xfrm>
        <a:prstGeom prst="leftBrace">
          <a:avLst>
            <a:gd name="adj1" fmla="val 8333"/>
            <a:gd name="adj2" fmla="val 84319"/>
          </a:avLst>
        </a:prstGeom>
        <a:ln w="38100">
          <a:solidFill>
            <a:schemeClr val="accent5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PH" sz="1100"/>
        </a:p>
      </xdr:txBody>
    </xdr:sp>
    <xdr:clientData/>
  </xdr:twoCellAnchor>
  <xdr:twoCellAnchor>
    <xdr:from>
      <xdr:col>6</xdr:col>
      <xdr:colOff>640081</xdr:colOff>
      <xdr:row>7</xdr:row>
      <xdr:rowOff>0</xdr:rowOff>
    </xdr:from>
    <xdr:to>
      <xdr:col>14</xdr:col>
      <xdr:colOff>647147</xdr:colOff>
      <xdr:row>9</xdr:row>
      <xdr:rowOff>167640</xdr:rowOff>
    </xdr:to>
    <xdr:cxnSp macro="">
      <xdr:nvCxnSpPr>
        <xdr:cNvPr id="10" name="Connector: Elbow 9">
          <a:extLst>
            <a:ext uri="{FF2B5EF4-FFF2-40B4-BE49-F238E27FC236}">
              <a16:creationId xmlns:a16="http://schemas.microsoft.com/office/drawing/2014/main" id="{6A56689C-0367-45C7-8A4F-6C5E9511AD4E}"/>
            </a:ext>
          </a:extLst>
        </xdr:cNvPr>
        <xdr:cNvCxnSpPr>
          <a:stCxn id="6" idx="1"/>
        </xdr:cNvCxnSpPr>
      </xdr:nvCxnSpPr>
      <xdr:spPr>
        <a:xfrm rot="16200000" flipV="1">
          <a:off x="9086574" y="-1352273"/>
          <a:ext cx="533400" cy="6529786"/>
        </a:xfrm>
        <a:prstGeom prst="bentConnector4">
          <a:avLst>
            <a:gd name="adj1" fmla="val 42857"/>
            <a:gd name="adj2" fmla="val 99825"/>
          </a:avLst>
        </a:prstGeom>
        <a:ln w="38100">
          <a:solidFill>
            <a:schemeClr val="accent5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160020</xdr:colOff>
      <xdr:row>24</xdr:row>
      <xdr:rowOff>121920</xdr:rowOff>
    </xdr:from>
    <xdr:to>
      <xdr:col>8</xdr:col>
      <xdr:colOff>746760</xdr:colOff>
      <xdr:row>27</xdr:row>
      <xdr:rowOff>7620</xdr:rowOff>
    </xdr:to>
    <xdr:sp macro="" textlink="">
      <xdr:nvSpPr>
        <xdr:cNvPr id="17" name="Left Brace 16">
          <a:extLst>
            <a:ext uri="{FF2B5EF4-FFF2-40B4-BE49-F238E27FC236}">
              <a16:creationId xmlns:a16="http://schemas.microsoft.com/office/drawing/2014/main" id="{6795C029-44F8-4B6E-B909-23D716F9A0E3}"/>
            </a:ext>
          </a:extLst>
        </xdr:cNvPr>
        <xdr:cNvSpPr/>
      </xdr:nvSpPr>
      <xdr:spPr>
        <a:xfrm rot="5400000">
          <a:off x="4831080" y="2910840"/>
          <a:ext cx="510540" cy="5478780"/>
        </a:xfrm>
        <a:prstGeom prst="leftBrace">
          <a:avLst>
            <a:gd name="adj1" fmla="val 8333"/>
            <a:gd name="adj2" fmla="val 10327"/>
          </a:avLst>
        </a:prstGeom>
        <a:ln w="3810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PH" sz="1100"/>
        </a:p>
      </xdr:txBody>
    </xdr:sp>
    <xdr:clientData/>
  </xdr:twoCellAnchor>
  <xdr:twoCellAnchor>
    <xdr:from>
      <xdr:col>8</xdr:col>
      <xdr:colOff>182326</xdr:colOff>
      <xdr:row>22</xdr:row>
      <xdr:rowOff>45720</xdr:rowOff>
    </xdr:from>
    <xdr:to>
      <xdr:col>16</xdr:col>
      <xdr:colOff>480060</xdr:colOff>
      <xdr:row>23</xdr:row>
      <xdr:rowOff>167640</xdr:rowOff>
    </xdr:to>
    <xdr:cxnSp macro="">
      <xdr:nvCxnSpPr>
        <xdr:cNvPr id="18" name="Connector: Elbow 17">
          <a:extLst>
            <a:ext uri="{FF2B5EF4-FFF2-40B4-BE49-F238E27FC236}">
              <a16:creationId xmlns:a16="http://schemas.microsoft.com/office/drawing/2014/main" id="{3CB461C8-B63D-4BE1-8BD3-E1AFF4A59C9C}"/>
            </a:ext>
          </a:extLst>
        </xdr:cNvPr>
        <xdr:cNvCxnSpPr/>
      </xdr:nvCxnSpPr>
      <xdr:spPr>
        <a:xfrm flipV="1">
          <a:off x="7261306" y="4953000"/>
          <a:ext cx="6820454" cy="304800"/>
        </a:xfrm>
        <a:prstGeom prst="bentConnector3">
          <a:avLst>
            <a:gd name="adj1" fmla="val 100052"/>
          </a:avLst>
        </a:prstGeom>
        <a:ln w="381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A5C25-8C92-4549-9A04-D3B2D18F1EEC}">
  <dimension ref="A1:M32"/>
  <sheetViews>
    <sheetView zoomScaleNormal="100" workbookViewId="0">
      <selection activeCell="E23" sqref="E23"/>
    </sheetView>
  </sheetViews>
  <sheetFormatPr defaultRowHeight="14.4" x14ac:dyDescent="0.3"/>
  <cols>
    <col min="1" max="1" width="3" bestFit="1" customWidth="1"/>
    <col min="2" max="2" width="48.77734375" customWidth="1"/>
    <col min="3" max="3" width="10.88671875" bestFit="1" customWidth="1"/>
    <col min="5" max="11" width="12.33203125" customWidth="1"/>
    <col min="13" max="13" width="20.33203125" bestFit="1" customWidth="1"/>
  </cols>
  <sheetData>
    <row r="1" spans="1:11" x14ac:dyDescent="0.3">
      <c r="A1" s="1" t="s">
        <v>83</v>
      </c>
    </row>
    <row r="3" spans="1:11" ht="43.2" x14ac:dyDescent="0.3">
      <c r="A3" s="11"/>
      <c r="B3" s="12"/>
      <c r="C3" s="12"/>
      <c r="D3" s="19" t="s">
        <v>30</v>
      </c>
      <c r="E3" s="20" t="s">
        <v>0</v>
      </c>
      <c r="F3" s="20" t="s">
        <v>1</v>
      </c>
      <c r="G3" s="20" t="s">
        <v>2</v>
      </c>
      <c r="H3" s="20" t="s">
        <v>3</v>
      </c>
      <c r="I3" s="20" t="s">
        <v>4</v>
      </c>
      <c r="J3" s="20" t="s">
        <v>5</v>
      </c>
      <c r="K3" s="20" t="s">
        <v>6</v>
      </c>
    </row>
    <row r="4" spans="1:11" x14ac:dyDescent="0.3">
      <c r="A4" s="18"/>
      <c r="B4" s="13" t="s">
        <v>36</v>
      </c>
      <c r="C4" s="13"/>
      <c r="D4" s="4"/>
      <c r="E4" s="4"/>
      <c r="F4" s="4"/>
      <c r="G4" s="4"/>
      <c r="H4" s="4"/>
      <c r="I4" s="4"/>
      <c r="J4" s="4"/>
      <c r="K4" s="4"/>
    </row>
    <row r="5" spans="1:11" x14ac:dyDescent="0.3">
      <c r="A5" s="9"/>
      <c r="B5" s="14" t="s">
        <v>20</v>
      </c>
      <c r="C5" s="14"/>
      <c r="D5" s="3"/>
      <c r="E5" s="3"/>
      <c r="F5" s="3"/>
      <c r="G5" s="3"/>
      <c r="H5" s="3"/>
      <c r="I5" s="3"/>
      <c r="J5" s="3"/>
      <c r="K5" s="3"/>
    </row>
    <row r="6" spans="1:11" x14ac:dyDescent="0.3">
      <c r="A6" s="15">
        <v>1</v>
      </c>
      <c r="B6" s="10" t="s">
        <v>8</v>
      </c>
      <c r="C6" s="10"/>
      <c r="D6" s="5">
        <v>150.1</v>
      </c>
      <c r="E6" s="5">
        <v>80</v>
      </c>
      <c r="F6" s="5">
        <v>7.5</v>
      </c>
      <c r="G6" s="5">
        <v>10</v>
      </c>
      <c r="H6" s="5">
        <v>36.1</v>
      </c>
      <c r="I6" s="5">
        <v>20</v>
      </c>
      <c r="J6" s="5">
        <v>7.5</v>
      </c>
      <c r="K6" s="5">
        <v>9</v>
      </c>
    </row>
    <row r="7" spans="1:11" x14ac:dyDescent="0.3">
      <c r="A7" s="15">
        <v>2</v>
      </c>
      <c r="B7" s="10" t="s">
        <v>7</v>
      </c>
      <c r="C7" s="10"/>
      <c r="D7" s="6">
        <v>1801</v>
      </c>
      <c r="E7" s="5">
        <v>982</v>
      </c>
      <c r="F7" s="5">
        <v>102</v>
      </c>
      <c r="G7" s="5">
        <v>102</v>
      </c>
      <c r="H7" s="5">
        <v>430</v>
      </c>
      <c r="I7" s="5">
        <v>230</v>
      </c>
      <c r="J7" s="5">
        <v>90</v>
      </c>
      <c r="K7" s="5">
        <v>95</v>
      </c>
    </row>
    <row r="8" spans="1:11" x14ac:dyDescent="0.3">
      <c r="A8" s="15">
        <v>3</v>
      </c>
      <c r="B8" s="10" t="s">
        <v>10</v>
      </c>
      <c r="C8" s="10"/>
      <c r="D8" s="6">
        <v>1893</v>
      </c>
      <c r="E8" s="5">
        <v>1022</v>
      </c>
      <c r="F8" s="5">
        <v>104</v>
      </c>
      <c r="G8" s="5">
        <v>116</v>
      </c>
      <c r="H8" s="5">
        <v>440</v>
      </c>
      <c r="I8" s="5">
        <v>240</v>
      </c>
      <c r="J8" s="5">
        <v>96</v>
      </c>
      <c r="K8" s="5">
        <v>115</v>
      </c>
    </row>
    <row r="9" spans="1:11" x14ac:dyDescent="0.3">
      <c r="A9" s="15"/>
      <c r="B9" s="10"/>
      <c r="C9" s="10"/>
      <c r="D9" s="6"/>
      <c r="E9" s="5"/>
      <c r="F9" s="5"/>
      <c r="G9" s="5"/>
      <c r="H9" s="5"/>
      <c r="I9" s="5"/>
      <c r="J9" s="5"/>
      <c r="K9" s="5"/>
    </row>
    <row r="10" spans="1:11" x14ac:dyDescent="0.3">
      <c r="A10" s="15">
        <v>4</v>
      </c>
      <c r="B10" s="54" t="s">
        <v>11</v>
      </c>
      <c r="C10" s="55" t="str">
        <f>"("&amp;A7&amp;"+"&amp;A8&amp;")/2"</f>
        <v>(2+3)/2</v>
      </c>
      <c r="D10" s="56">
        <f>AVERAGE(D7:D8)</f>
        <v>1847</v>
      </c>
      <c r="E10" s="56">
        <f t="shared" ref="E10:K10" si="0">AVERAGE(E7:E8)</f>
        <v>1002</v>
      </c>
      <c r="F10" s="56">
        <f t="shared" si="0"/>
        <v>103</v>
      </c>
      <c r="G10" s="56">
        <f t="shared" si="0"/>
        <v>109</v>
      </c>
      <c r="H10" s="56">
        <f t="shared" si="0"/>
        <v>435</v>
      </c>
      <c r="I10" s="56">
        <f t="shared" si="0"/>
        <v>235</v>
      </c>
      <c r="J10" s="56">
        <f t="shared" si="0"/>
        <v>93</v>
      </c>
      <c r="K10" s="56">
        <f t="shared" si="0"/>
        <v>105</v>
      </c>
    </row>
    <row r="11" spans="1:11" x14ac:dyDescent="0.3">
      <c r="A11" s="15">
        <v>5</v>
      </c>
      <c r="B11" s="54" t="s">
        <v>12</v>
      </c>
      <c r="C11" s="55" t="str">
        <f>"("&amp;A6&amp;"/"&amp;A10&amp;")*100"</f>
        <v>(1/4)*100</v>
      </c>
      <c r="D11" s="57">
        <f>D6/D10*100</f>
        <v>8.1266919328641034</v>
      </c>
      <c r="E11" s="57">
        <f t="shared" ref="E11:K11" si="1">E6/E10*100</f>
        <v>7.9840319361277441</v>
      </c>
      <c r="F11" s="57">
        <f t="shared" si="1"/>
        <v>7.2815533980582519</v>
      </c>
      <c r="G11" s="57">
        <f t="shared" si="1"/>
        <v>9.1743119266055047</v>
      </c>
      <c r="H11" s="57">
        <f t="shared" si="1"/>
        <v>8.2988505747126435</v>
      </c>
      <c r="I11" s="57">
        <f t="shared" si="1"/>
        <v>8.5106382978723403</v>
      </c>
      <c r="J11" s="57">
        <f t="shared" si="1"/>
        <v>8.064516129032258</v>
      </c>
      <c r="K11" s="57">
        <f t="shared" si="1"/>
        <v>8.5714285714285712</v>
      </c>
    </row>
    <row r="12" spans="1:11" x14ac:dyDescent="0.3">
      <c r="A12" s="15"/>
      <c r="B12" s="10"/>
      <c r="C12" s="10"/>
      <c r="D12" s="3"/>
      <c r="E12" s="3"/>
      <c r="F12" s="3"/>
      <c r="G12" s="3"/>
      <c r="H12" s="3"/>
      <c r="I12" s="3"/>
      <c r="J12" s="3"/>
      <c r="K12" s="3"/>
    </row>
    <row r="13" spans="1:11" x14ac:dyDescent="0.3">
      <c r="A13" s="9"/>
      <c r="B13" s="14" t="s">
        <v>19</v>
      </c>
      <c r="C13" s="14"/>
      <c r="D13" s="3"/>
      <c r="E13" s="3"/>
      <c r="F13" s="3"/>
      <c r="G13" s="3"/>
      <c r="H13" s="3"/>
      <c r="I13" s="3"/>
      <c r="J13" s="3"/>
      <c r="K13" s="3"/>
    </row>
    <row r="14" spans="1:11" x14ac:dyDescent="0.3">
      <c r="A14" s="15">
        <v>6</v>
      </c>
      <c r="B14" s="10" t="s">
        <v>23</v>
      </c>
      <c r="C14" s="10"/>
      <c r="D14" s="3">
        <v>5.8</v>
      </c>
      <c r="E14" s="3"/>
      <c r="F14" s="3"/>
      <c r="G14" s="3"/>
      <c r="H14" s="3"/>
      <c r="I14" s="3"/>
      <c r="J14" s="3"/>
      <c r="K14" s="3"/>
    </row>
    <row r="15" spans="1:11" x14ac:dyDescent="0.3">
      <c r="A15" s="15">
        <v>7</v>
      </c>
      <c r="B15" s="10" t="s">
        <v>21</v>
      </c>
      <c r="C15" s="10"/>
      <c r="D15" s="3">
        <v>80</v>
      </c>
      <c r="E15" s="3"/>
      <c r="F15" s="3"/>
      <c r="G15" s="3"/>
      <c r="H15" s="3"/>
      <c r="I15" s="3"/>
      <c r="J15" s="3"/>
      <c r="K15" s="3"/>
    </row>
    <row r="16" spans="1:11" x14ac:dyDescent="0.3">
      <c r="A16" s="15">
        <v>8</v>
      </c>
      <c r="B16" s="10" t="s">
        <v>22</v>
      </c>
      <c r="C16" s="10"/>
      <c r="D16" s="3">
        <v>86</v>
      </c>
      <c r="E16" s="3"/>
      <c r="F16" s="3"/>
      <c r="G16" s="3"/>
      <c r="H16" s="3"/>
      <c r="I16" s="3"/>
      <c r="J16" s="3"/>
      <c r="K16" s="3"/>
    </row>
    <row r="17" spans="1:13" x14ac:dyDescent="0.3">
      <c r="A17" s="15">
        <v>9</v>
      </c>
      <c r="B17" s="10" t="s">
        <v>27</v>
      </c>
      <c r="C17" s="10"/>
      <c r="D17" s="3">
        <v>5</v>
      </c>
      <c r="E17" s="3"/>
      <c r="F17" s="3"/>
      <c r="G17" s="3"/>
      <c r="H17" s="3"/>
      <c r="I17" s="3"/>
      <c r="J17" s="3"/>
      <c r="K17" s="3"/>
    </row>
    <row r="18" spans="1:13" x14ac:dyDescent="0.3">
      <c r="A18" s="15">
        <v>10</v>
      </c>
      <c r="B18" s="10" t="s">
        <v>28</v>
      </c>
      <c r="C18" s="10"/>
      <c r="D18" s="3">
        <v>1.3</v>
      </c>
      <c r="E18" s="3" t="s">
        <v>26</v>
      </c>
      <c r="F18" s="3"/>
      <c r="G18" s="3"/>
      <c r="H18" s="3"/>
      <c r="I18" s="3"/>
      <c r="J18" s="3"/>
      <c r="K18" s="3"/>
    </row>
    <row r="19" spans="1:13" x14ac:dyDescent="0.3">
      <c r="A19" s="15"/>
      <c r="B19" s="10"/>
      <c r="C19" s="10"/>
      <c r="D19" s="3"/>
      <c r="E19" s="3"/>
      <c r="F19" s="3"/>
      <c r="G19" s="3"/>
      <c r="H19" s="3"/>
      <c r="I19" s="3"/>
      <c r="J19" s="3"/>
      <c r="K19" s="3"/>
    </row>
    <row r="20" spans="1:13" x14ac:dyDescent="0.3">
      <c r="A20" s="15">
        <v>11</v>
      </c>
      <c r="B20" s="54" t="s">
        <v>25</v>
      </c>
      <c r="C20" s="55" t="str">
        <f>"("&amp;A15&amp;"+"&amp;A16&amp;")/2"</f>
        <v>(7+8)/2</v>
      </c>
      <c r="D20" s="56">
        <f>AVERAGE(D15:D16)</f>
        <v>83</v>
      </c>
      <c r="E20" s="56"/>
      <c r="F20" s="56"/>
      <c r="G20" s="56"/>
      <c r="H20" s="56"/>
      <c r="I20" s="56"/>
      <c r="J20" s="56"/>
      <c r="K20" s="56"/>
    </row>
    <row r="21" spans="1:13" x14ac:dyDescent="0.3">
      <c r="A21" s="15">
        <v>12</v>
      </c>
      <c r="B21" s="54" t="s">
        <v>24</v>
      </c>
      <c r="C21" s="55" t="str">
        <f>"("&amp;A14&amp;"/"&amp;A20&amp;")*100"</f>
        <v>(6/11)*100</v>
      </c>
      <c r="D21" s="57">
        <f>D14/D20*100</f>
        <v>6.9879518072289146</v>
      </c>
      <c r="E21" s="57"/>
      <c r="F21" s="57"/>
      <c r="G21" s="57"/>
      <c r="H21" s="57"/>
      <c r="I21" s="57"/>
      <c r="J21" s="57"/>
      <c r="K21" s="57"/>
    </row>
    <row r="22" spans="1:13" x14ac:dyDescent="0.3">
      <c r="A22" s="15">
        <v>13</v>
      </c>
      <c r="B22" s="54" t="s">
        <v>31</v>
      </c>
      <c r="C22" s="55" t="str">
        <f>"("&amp;A18&amp;" x "&amp;A20&amp;")"</f>
        <v>(10 x 11)</v>
      </c>
      <c r="D22" s="56">
        <f>D20*D18</f>
        <v>107.9</v>
      </c>
      <c r="E22" s="56"/>
      <c r="F22" s="56"/>
      <c r="G22" s="56"/>
      <c r="H22" s="56"/>
      <c r="I22" s="56"/>
      <c r="J22" s="56"/>
      <c r="K22" s="56"/>
    </row>
    <row r="23" spans="1:13" x14ac:dyDescent="0.3">
      <c r="A23" s="15">
        <v>14</v>
      </c>
      <c r="B23" s="54" t="s">
        <v>29</v>
      </c>
      <c r="C23" s="55" t="str">
        <f>"("&amp;A14&amp;" x "&amp;A18&amp;")"</f>
        <v>(6 x 10)</v>
      </c>
      <c r="D23" s="57">
        <f>D14*D18</f>
        <v>7.54</v>
      </c>
      <c r="E23" s="57"/>
      <c r="F23" s="57"/>
      <c r="G23" s="57"/>
      <c r="H23" s="57"/>
      <c r="I23" s="57"/>
      <c r="J23" s="57"/>
      <c r="K23" s="57"/>
    </row>
    <row r="24" spans="1:13" x14ac:dyDescent="0.3">
      <c r="A24" s="15"/>
      <c r="B24" s="10"/>
      <c r="C24" s="10"/>
      <c r="D24" s="3"/>
      <c r="E24" s="3"/>
      <c r="F24" s="3"/>
      <c r="G24" s="3"/>
      <c r="H24" s="3"/>
      <c r="I24" s="3"/>
      <c r="J24" s="3"/>
      <c r="K24" s="3"/>
    </row>
    <row r="25" spans="1:13" x14ac:dyDescent="0.3">
      <c r="A25" s="15"/>
      <c r="B25" s="10"/>
      <c r="C25" s="10"/>
      <c r="D25" s="3"/>
      <c r="E25" s="3"/>
      <c r="F25" s="3"/>
      <c r="G25" s="3"/>
      <c r="H25" s="3"/>
      <c r="I25" s="3"/>
      <c r="J25" s="3"/>
      <c r="K25" s="3"/>
    </row>
    <row r="26" spans="1:13" x14ac:dyDescent="0.3">
      <c r="A26" s="17"/>
      <c r="B26" s="2" t="s">
        <v>37</v>
      </c>
      <c r="C26" s="2"/>
      <c r="D26" s="4"/>
      <c r="E26" s="4"/>
      <c r="F26" s="4"/>
      <c r="G26" s="4"/>
      <c r="H26" s="4"/>
      <c r="I26" s="4"/>
      <c r="J26" s="4"/>
      <c r="K26" s="4"/>
    </row>
    <row r="27" spans="1:13" x14ac:dyDescent="0.3">
      <c r="A27" s="15">
        <v>15</v>
      </c>
      <c r="B27" s="10" t="s">
        <v>9</v>
      </c>
      <c r="C27" s="10"/>
      <c r="D27" s="5">
        <v>62.9</v>
      </c>
      <c r="E27" s="5">
        <v>36</v>
      </c>
      <c r="F27" s="5">
        <v>6.6</v>
      </c>
      <c r="G27" s="5">
        <v>5</v>
      </c>
      <c r="H27" s="5">
        <v>8</v>
      </c>
      <c r="I27" s="3"/>
      <c r="J27" s="5">
        <v>4.3</v>
      </c>
      <c r="K27" s="5">
        <v>3</v>
      </c>
      <c r="M27" s="21"/>
    </row>
    <row r="28" spans="1:13" x14ac:dyDescent="0.3">
      <c r="A28" s="15">
        <v>16</v>
      </c>
      <c r="B28" s="10" t="s">
        <v>13</v>
      </c>
      <c r="C28" s="10"/>
      <c r="D28" s="3">
        <v>1127</v>
      </c>
      <c r="E28" s="3">
        <v>650</v>
      </c>
      <c r="F28" s="3">
        <v>99</v>
      </c>
      <c r="G28" s="3">
        <v>98</v>
      </c>
      <c r="H28" s="3">
        <v>150</v>
      </c>
      <c r="I28" s="3"/>
      <c r="J28" s="3">
        <v>80</v>
      </c>
      <c r="K28" s="3">
        <v>50</v>
      </c>
      <c r="M28" s="21"/>
    </row>
    <row r="29" spans="1:13" x14ac:dyDescent="0.3">
      <c r="A29" s="15">
        <v>17</v>
      </c>
      <c r="B29" s="10" t="s">
        <v>14</v>
      </c>
      <c r="C29" s="10"/>
      <c r="D29" s="3">
        <v>1155</v>
      </c>
      <c r="E29" s="3">
        <v>660</v>
      </c>
      <c r="F29" s="3">
        <v>101</v>
      </c>
      <c r="G29" s="3">
        <v>92</v>
      </c>
      <c r="H29" s="3">
        <v>152</v>
      </c>
      <c r="I29" s="3"/>
      <c r="J29" s="3">
        <v>84</v>
      </c>
      <c r="K29" s="3">
        <v>66</v>
      </c>
      <c r="M29" s="21"/>
    </row>
    <row r="30" spans="1:13" x14ac:dyDescent="0.3">
      <c r="A30" s="15"/>
      <c r="B30" s="10"/>
      <c r="C30" s="10"/>
      <c r="D30" s="3"/>
      <c r="E30" s="3"/>
      <c r="F30" s="3"/>
      <c r="G30" s="3"/>
      <c r="H30" s="3"/>
      <c r="I30" s="3"/>
      <c r="J30" s="3"/>
      <c r="K30" s="3"/>
    </row>
    <row r="31" spans="1:13" x14ac:dyDescent="0.3">
      <c r="A31" s="15">
        <v>18</v>
      </c>
      <c r="B31" s="54" t="s">
        <v>15</v>
      </c>
      <c r="C31" s="55" t="str">
        <f>"("&amp;A28&amp;"+"&amp;A29&amp;")/2"</f>
        <v>(16+17)/2</v>
      </c>
      <c r="D31" s="56">
        <f>AVERAGE(D28:D29)</f>
        <v>1141</v>
      </c>
      <c r="E31" s="56">
        <f>AVERAGE(E28:E29)</f>
        <v>655</v>
      </c>
      <c r="F31" s="56">
        <f t="shared" ref="F31:H31" si="2">AVERAGE(F28:F29)</f>
        <v>100</v>
      </c>
      <c r="G31" s="56">
        <f t="shared" si="2"/>
        <v>95</v>
      </c>
      <c r="H31" s="56">
        <f t="shared" si="2"/>
        <v>151</v>
      </c>
      <c r="I31" s="56"/>
      <c r="J31" s="56">
        <f>AVERAGE(J28:J29)</f>
        <v>82</v>
      </c>
      <c r="K31" s="56">
        <f>AVERAGE(K28:K29)</f>
        <v>58</v>
      </c>
    </row>
    <row r="32" spans="1:13" x14ac:dyDescent="0.3">
      <c r="A32" s="15">
        <v>19</v>
      </c>
      <c r="B32" s="54" t="s">
        <v>16</v>
      </c>
      <c r="C32" s="55" t="str">
        <f>"("&amp;A27&amp;"/"&amp;A31&amp;")*100"</f>
        <v>(15/18)*100</v>
      </c>
      <c r="D32" s="57">
        <f>D27/D31*100</f>
        <v>5.5127081507449605</v>
      </c>
      <c r="E32" s="57">
        <f>E27/E31*100</f>
        <v>5.4961832061068705</v>
      </c>
      <c r="F32" s="57">
        <f t="shared" ref="F32:H32" si="3">F27/F31*100</f>
        <v>6.6000000000000005</v>
      </c>
      <c r="G32" s="57">
        <f t="shared" si="3"/>
        <v>5.2631578947368416</v>
      </c>
      <c r="H32" s="57">
        <f t="shared" si="3"/>
        <v>5.298013245033113</v>
      </c>
      <c r="I32" s="57"/>
      <c r="J32" s="57">
        <f t="shared" ref="J32:K32" si="4">J27/J31*100</f>
        <v>5.2439024390243905</v>
      </c>
      <c r="K32" s="57">
        <f t="shared" si="4"/>
        <v>5.1724137931034484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37980-5E1E-435C-A236-A6AC58C54397}">
  <dimension ref="A1:N37"/>
  <sheetViews>
    <sheetView workbookViewId="0">
      <selection activeCell="E23" sqref="E23"/>
    </sheetView>
  </sheetViews>
  <sheetFormatPr defaultRowHeight="14.4" x14ac:dyDescent="0.3"/>
  <cols>
    <col min="1" max="1" width="3" bestFit="1" customWidth="1"/>
    <col min="2" max="2" width="47.33203125" customWidth="1"/>
    <col min="3" max="3" width="9.88671875" bestFit="1" customWidth="1"/>
    <col min="5" max="11" width="12.33203125" customWidth="1"/>
    <col min="13" max="13" width="32.6640625" customWidth="1"/>
  </cols>
  <sheetData>
    <row r="1" spans="1:14" x14ac:dyDescent="0.3">
      <c r="A1" s="1"/>
      <c r="B1" s="1" t="s">
        <v>38</v>
      </c>
    </row>
    <row r="4" spans="1:14" ht="43.2" x14ac:dyDescent="0.3">
      <c r="A4" s="11"/>
      <c r="B4" s="12"/>
      <c r="C4" s="12"/>
      <c r="D4" s="19" t="s">
        <v>30</v>
      </c>
      <c r="E4" s="20" t="s">
        <v>0</v>
      </c>
      <c r="F4" s="20" t="s">
        <v>1</v>
      </c>
      <c r="G4" s="20" t="s">
        <v>2</v>
      </c>
      <c r="H4" s="20" t="s">
        <v>73</v>
      </c>
      <c r="I4" s="20" t="s">
        <v>4</v>
      </c>
      <c r="J4" s="20" t="s">
        <v>5</v>
      </c>
      <c r="K4" s="20" t="s">
        <v>74</v>
      </c>
    </row>
    <row r="5" spans="1:14" x14ac:dyDescent="0.3">
      <c r="A5" s="18"/>
      <c r="B5" s="13" t="s">
        <v>36</v>
      </c>
      <c r="C5" s="13"/>
      <c r="D5" s="4"/>
      <c r="E5" s="4"/>
      <c r="F5" s="4"/>
      <c r="G5" s="4"/>
      <c r="H5" s="4"/>
      <c r="I5" s="4"/>
      <c r="J5" s="4"/>
      <c r="K5" s="4"/>
      <c r="M5" s="2" t="s">
        <v>32</v>
      </c>
      <c r="N5" s="17"/>
    </row>
    <row r="6" spans="1:14" x14ac:dyDescent="0.3">
      <c r="A6" s="9"/>
      <c r="B6" s="14" t="s">
        <v>20</v>
      </c>
      <c r="C6" s="14"/>
      <c r="D6" s="3"/>
      <c r="E6" s="3"/>
      <c r="F6" s="3"/>
      <c r="G6" s="3"/>
      <c r="H6" s="3"/>
      <c r="I6" s="3"/>
      <c r="J6" s="3"/>
      <c r="K6" s="3"/>
      <c r="M6" s="22" t="s">
        <v>35</v>
      </c>
      <c r="N6" s="17">
        <v>7</v>
      </c>
    </row>
    <row r="7" spans="1:14" x14ac:dyDescent="0.3">
      <c r="A7" s="15">
        <v>4</v>
      </c>
      <c r="B7" s="16" t="s">
        <v>11</v>
      </c>
      <c r="C7" s="30" t="str">
        <f>'1'!C10</f>
        <v>(2+3)/2</v>
      </c>
      <c r="D7" s="7">
        <f>'1'!D10</f>
        <v>1847</v>
      </c>
      <c r="E7" s="7">
        <f>'1'!E10</f>
        <v>1002</v>
      </c>
      <c r="F7" s="7">
        <f>'1'!F10</f>
        <v>103</v>
      </c>
      <c r="G7" s="7">
        <f>'1'!G10</f>
        <v>109</v>
      </c>
      <c r="H7" s="7">
        <f>'1'!H10</f>
        <v>435</v>
      </c>
      <c r="I7" s="7">
        <f>'1'!I10</f>
        <v>235</v>
      </c>
      <c r="J7" s="7">
        <f>'1'!J10</f>
        <v>93</v>
      </c>
      <c r="K7" s="7">
        <f>'1'!K10</f>
        <v>105</v>
      </c>
      <c r="L7" s="21"/>
      <c r="M7" s="22" t="s">
        <v>33</v>
      </c>
      <c r="N7" s="23">
        <f>($D$8+$D$27)/2</f>
        <v>6.8197000418045324</v>
      </c>
    </row>
    <row r="8" spans="1:14" x14ac:dyDescent="0.3">
      <c r="A8" s="15">
        <v>5</v>
      </c>
      <c r="B8" s="16" t="s">
        <v>12</v>
      </c>
      <c r="C8" s="30" t="str">
        <f>'1'!C11</f>
        <v>(1/4)*100</v>
      </c>
      <c r="D8" s="8">
        <f>'1'!D11</f>
        <v>8.1266919328641034</v>
      </c>
      <c r="E8" s="8">
        <f>'1'!E11</f>
        <v>7.9840319361277441</v>
      </c>
      <c r="F8" s="8">
        <f>'1'!F11</f>
        <v>7.2815533980582519</v>
      </c>
      <c r="G8" s="8">
        <f>'1'!G11</f>
        <v>9.1743119266055047</v>
      </c>
      <c r="H8" s="8">
        <f>'1'!H11</f>
        <v>8.2988505747126435</v>
      </c>
      <c r="I8" s="8">
        <f>'1'!I11</f>
        <v>8.5106382978723403</v>
      </c>
      <c r="J8" s="8">
        <f>'1'!J11</f>
        <v>8.064516129032258</v>
      </c>
      <c r="K8" s="8">
        <f>'1'!K11</f>
        <v>8.5714285714285712</v>
      </c>
      <c r="M8" s="22" t="s">
        <v>34</v>
      </c>
      <c r="N8" s="23">
        <f>($D$8*(D7/SUM($D$7,$D$26)))+($D$27*(D26/SUM($D$7,$D$26)))</f>
        <v>7.1285140562248994</v>
      </c>
    </row>
    <row r="9" spans="1:14" x14ac:dyDescent="0.3">
      <c r="A9" s="15"/>
      <c r="B9" s="10"/>
      <c r="C9" s="31"/>
      <c r="D9" s="3"/>
      <c r="E9" s="3"/>
      <c r="F9" s="3"/>
      <c r="G9" s="3"/>
      <c r="H9" s="3"/>
      <c r="I9" s="3"/>
      <c r="J9" s="3"/>
      <c r="K9" s="3"/>
      <c r="M9" s="22" t="s">
        <v>27</v>
      </c>
      <c r="N9" s="23">
        <v>5</v>
      </c>
    </row>
    <row r="10" spans="1:14" x14ac:dyDescent="0.3">
      <c r="A10" s="9"/>
      <c r="B10" s="14" t="s">
        <v>19</v>
      </c>
      <c r="C10" s="32"/>
      <c r="D10" s="3"/>
      <c r="E10" s="3"/>
      <c r="F10" s="3"/>
      <c r="G10" s="3"/>
      <c r="H10" s="3"/>
      <c r="I10" s="3"/>
      <c r="J10" s="3"/>
      <c r="K10" s="3"/>
    </row>
    <row r="11" spans="1:14" x14ac:dyDescent="0.3">
      <c r="A11" s="15">
        <v>11</v>
      </c>
      <c r="B11" s="16" t="s">
        <v>25</v>
      </c>
      <c r="C11" s="30" t="str">
        <f>'1'!C20</f>
        <v>(7+8)/2</v>
      </c>
      <c r="D11" s="7">
        <f>'1'!D20</f>
        <v>83</v>
      </c>
      <c r="E11" s="3"/>
      <c r="F11" s="3"/>
      <c r="G11" s="3"/>
      <c r="H11" s="3"/>
      <c r="I11" s="3"/>
      <c r="J11" s="3"/>
      <c r="K11" s="3"/>
    </row>
    <row r="12" spans="1:14" x14ac:dyDescent="0.3">
      <c r="A12" s="15">
        <v>12</v>
      </c>
      <c r="B12" s="16" t="s">
        <v>24</v>
      </c>
      <c r="C12" s="30" t="str">
        <f>'1'!C21</f>
        <v>(6/11)*100</v>
      </c>
      <c r="D12" s="8">
        <f>'1'!D21</f>
        <v>6.9879518072289146</v>
      </c>
      <c r="E12" s="3"/>
      <c r="F12" s="3"/>
      <c r="G12" s="3"/>
      <c r="H12" s="3"/>
      <c r="I12" s="3"/>
      <c r="J12" s="3"/>
      <c r="K12" s="3"/>
    </row>
    <row r="13" spans="1:14" x14ac:dyDescent="0.3">
      <c r="A13" s="15">
        <v>13</v>
      </c>
      <c r="B13" s="16" t="s">
        <v>31</v>
      </c>
      <c r="C13" s="30" t="str">
        <f>'1'!C22</f>
        <v>(10 x 11)</v>
      </c>
      <c r="D13" s="7">
        <f>'1'!D22</f>
        <v>107.9</v>
      </c>
      <c r="E13" s="3"/>
      <c r="F13" s="3"/>
      <c r="G13" s="3"/>
      <c r="H13" s="3"/>
      <c r="I13" s="3"/>
      <c r="J13" s="3"/>
      <c r="K13" s="3"/>
    </row>
    <row r="14" spans="1:14" x14ac:dyDescent="0.3">
      <c r="A14" s="15">
        <v>14</v>
      </c>
      <c r="B14" s="16" t="s">
        <v>29</v>
      </c>
      <c r="C14" s="30" t="str">
        <f>'1'!C23</f>
        <v>(6 x 10)</v>
      </c>
      <c r="D14" s="8">
        <f>'1'!D23</f>
        <v>7.54</v>
      </c>
      <c r="E14" s="3"/>
      <c r="F14" s="3"/>
      <c r="G14" s="3"/>
      <c r="H14" s="3"/>
      <c r="I14" s="3"/>
      <c r="J14" s="3"/>
      <c r="K14" s="3"/>
    </row>
    <row r="15" spans="1:14" x14ac:dyDescent="0.3">
      <c r="A15" s="15"/>
      <c r="B15" s="10"/>
      <c r="C15" s="10"/>
      <c r="D15" s="3"/>
      <c r="E15" s="3"/>
      <c r="F15" s="3"/>
      <c r="G15" s="3"/>
      <c r="H15" s="3"/>
      <c r="I15" s="3"/>
      <c r="J15" s="3"/>
      <c r="K15" s="3"/>
    </row>
    <row r="16" spans="1:14" x14ac:dyDescent="0.3">
      <c r="A16" s="24"/>
      <c r="B16" s="25" t="s">
        <v>17</v>
      </c>
      <c r="C16" s="25"/>
      <c r="D16" s="26"/>
      <c r="E16" s="26"/>
      <c r="F16" s="26"/>
      <c r="G16" s="26"/>
      <c r="H16" s="26"/>
      <c r="I16" s="26"/>
      <c r="J16" s="26"/>
      <c r="K16" s="26"/>
    </row>
    <row r="17" spans="1:13" x14ac:dyDescent="0.3">
      <c r="A17" s="15"/>
      <c r="B17" s="14" t="s">
        <v>20</v>
      </c>
      <c r="C17" s="10"/>
      <c r="D17" s="3"/>
      <c r="E17" s="3"/>
      <c r="F17" s="3"/>
      <c r="G17" s="3"/>
      <c r="H17" s="3"/>
      <c r="I17" s="3"/>
      <c r="J17" s="3"/>
      <c r="K17" s="3"/>
    </row>
    <row r="18" spans="1:13" x14ac:dyDescent="0.3">
      <c r="A18" s="15"/>
      <c r="B18" s="10" t="s">
        <v>35</v>
      </c>
      <c r="C18" s="10"/>
      <c r="D18" s="27">
        <f>(D$8-$N$6)/100*D$7</f>
        <v>20.809999999999992</v>
      </c>
      <c r="E18" s="27">
        <f t="shared" ref="E18:K18" si="0">(E$8-$N$6)/100*E$7</f>
        <v>9.8599999999999959</v>
      </c>
      <c r="F18" s="27">
        <f t="shared" si="0"/>
        <v>0.28999999999999942</v>
      </c>
      <c r="G18" s="27">
        <f t="shared" si="0"/>
        <v>2.37</v>
      </c>
      <c r="H18" s="27">
        <f t="shared" si="0"/>
        <v>5.6499999999999986</v>
      </c>
      <c r="I18" s="27">
        <f t="shared" si="0"/>
        <v>3.5499999999999994</v>
      </c>
      <c r="J18" s="27">
        <f t="shared" si="0"/>
        <v>0.99</v>
      </c>
      <c r="K18" s="27">
        <f t="shared" si="0"/>
        <v>1.6499999999999997</v>
      </c>
      <c r="L18" s="21"/>
      <c r="M18" s="28"/>
    </row>
    <row r="19" spans="1:13" x14ac:dyDescent="0.3">
      <c r="A19" s="15"/>
      <c r="B19" s="10" t="s">
        <v>39</v>
      </c>
      <c r="C19" s="10"/>
      <c r="D19" s="27">
        <f>(D$8-$N$7)/100*D$7</f>
        <v>24.140140227870276</v>
      </c>
      <c r="E19" s="27">
        <f t="shared" ref="E19:K19" si="1">(E$8-$N$7)/100*E$7</f>
        <v>11.666605581118581</v>
      </c>
      <c r="F19" s="27">
        <f t="shared" si="1"/>
        <v>0.47570895694133108</v>
      </c>
      <c r="G19" s="27">
        <f t="shared" si="1"/>
        <v>2.5665269544330598</v>
      </c>
      <c r="H19" s="27">
        <f t="shared" si="1"/>
        <v>6.4343048181502835</v>
      </c>
      <c r="I19" s="27">
        <f t="shared" si="1"/>
        <v>3.9737049017593482</v>
      </c>
      <c r="J19" s="27">
        <f t="shared" si="1"/>
        <v>1.1576789611217848</v>
      </c>
      <c r="K19" s="27">
        <f t="shared" si="1"/>
        <v>1.8393149561052407</v>
      </c>
      <c r="L19" s="21"/>
      <c r="M19" s="28"/>
    </row>
    <row r="20" spans="1:13" x14ac:dyDescent="0.3">
      <c r="A20" s="15"/>
      <c r="B20" s="10" t="s">
        <v>34</v>
      </c>
      <c r="C20" s="10"/>
      <c r="D20" s="27">
        <f>(D$8-$N$8)/100*D$7</f>
        <v>18.436345381526099</v>
      </c>
      <c r="E20" s="27">
        <f t="shared" ref="E20:K20" si="2">(E$8-$N$8)/100*E$7</f>
        <v>8.5722891566265034</v>
      </c>
      <c r="F20" s="27">
        <f t="shared" si="2"/>
        <v>0.15763052208835301</v>
      </c>
      <c r="G20" s="27">
        <f t="shared" si="2"/>
        <v>2.2299196787148596</v>
      </c>
      <c r="H20" s="27">
        <f t="shared" si="2"/>
        <v>5.0909638554216876</v>
      </c>
      <c r="I20" s="27">
        <f t="shared" si="2"/>
        <v>3.2479919678714859</v>
      </c>
      <c r="J20" s="27">
        <f t="shared" si="2"/>
        <v>0.87048192771084354</v>
      </c>
      <c r="K20" s="27">
        <f t="shared" si="2"/>
        <v>1.5150602409638554</v>
      </c>
      <c r="L20" s="21"/>
      <c r="M20" s="28"/>
    </row>
    <row r="21" spans="1:13" x14ac:dyDescent="0.3">
      <c r="A21" s="15"/>
      <c r="B21" s="10"/>
      <c r="C21" s="10"/>
      <c r="D21" s="3"/>
      <c r="E21" s="3"/>
      <c r="F21" s="3"/>
      <c r="G21" s="3"/>
      <c r="H21" s="3"/>
      <c r="I21" s="3"/>
      <c r="J21" s="3"/>
      <c r="K21" s="3"/>
    </row>
    <row r="22" spans="1:13" x14ac:dyDescent="0.3">
      <c r="A22" s="15"/>
      <c r="B22" s="14" t="s">
        <v>19</v>
      </c>
      <c r="C22" s="10"/>
      <c r="D22" s="3"/>
      <c r="E22" s="3"/>
      <c r="F22" s="3"/>
      <c r="G22" s="3"/>
      <c r="H22" s="3"/>
      <c r="I22" s="3"/>
      <c r="J22" s="3"/>
      <c r="K22" s="3"/>
    </row>
    <row r="23" spans="1:13" x14ac:dyDescent="0.3">
      <c r="A23" s="15"/>
      <c r="B23" s="10" t="s">
        <v>40</v>
      </c>
      <c r="C23" s="10"/>
      <c r="D23" s="27">
        <f>(D12-N9)/100*D11*'1'!D18</f>
        <v>2.1449999999999987</v>
      </c>
      <c r="E23" s="27"/>
      <c r="F23" s="27"/>
      <c r="G23" s="27"/>
      <c r="H23" s="27"/>
      <c r="I23" s="27"/>
      <c r="J23" s="27"/>
      <c r="K23" s="27"/>
    </row>
    <row r="24" spans="1:13" x14ac:dyDescent="0.3">
      <c r="A24" s="15"/>
      <c r="B24" s="10"/>
      <c r="C24" s="10"/>
      <c r="D24" s="27"/>
      <c r="E24" s="27"/>
      <c r="F24" s="27"/>
      <c r="G24" s="27"/>
      <c r="H24" s="27"/>
      <c r="I24" s="27"/>
      <c r="J24" s="27"/>
      <c r="K24" s="27"/>
    </row>
    <row r="25" spans="1:13" x14ac:dyDescent="0.3">
      <c r="A25" s="17"/>
      <c r="B25" s="2" t="s">
        <v>37</v>
      </c>
      <c r="C25" s="2"/>
      <c r="D25" s="4"/>
      <c r="E25" s="4"/>
      <c r="F25" s="4"/>
      <c r="G25" s="4"/>
      <c r="H25" s="4"/>
      <c r="I25" s="4"/>
      <c r="J25" s="4"/>
      <c r="K25" s="4"/>
    </row>
    <row r="26" spans="1:13" x14ac:dyDescent="0.3">
      <c r="A26" s="15">
        <v>18</v>
      </c>
      <c r="B26" s="16" t="s">
        <v>15</v>
      </c>
      <c r="C26" s="10"/>
      <c r="D26" s="7">
        <f>'1'!D31</f>
        <v>1141</v>
      </c>
      <c r="E26" s="7">
        <f>'1'!E31</f>
        <v>655</v>
      </c>
      <c r="F26" s="7">
        <f>'1'!F31</f>
        <v>100</v>
      </c>
      <c r="G26" s="7">
        <f>'1'!G31</f>
        <v>95</v>
      </c>
      <c r="H26" s="7">
        <f>'1'!H31</f>
        <v>151</v>
      </c>
      <c r="I26" s="7"/>
      <c r="J26" s="7">
        <f>'1'!J31</f>
        <v>82</v>
      </c>
      <c r="K26" s="7">
        <f>'1'!K31</f>
        <v>58</v>
      </c>
      <c r="L26" s="21"/>
    </row>
    <row r="27" spans="1:13" x14ac:dyDescent="0.3">
      <c r="A27" s="15">
        <v>19</v>
      </c>
      <c r="B27" s="16" t="s">
        <v>16</v>
      </c>
      <c r="C27" s="10"/>
      <c r="D27" s="8">
        <f>'1'!D32</f>
        <v>5.5127081507449605</v>
      </c>
      <c r="E27" s="8">
        <f>'1'!E32</f>
        <v>5.4961832061068705</v>
      </c>
      <c r="F27" s="8">
        <f>'1'!F32</f>
        <v>6.6000000000000005</v>
      </c>
      <c r="G27" s="8">
        <f>'1'!G32</f>
        <v>5.2631578947368416</v>
      </c>
      <c r="H27" s="8">
        <f>'1'!H32</f>
        <v>5.298013245033113</v>
      </c>
      <c r="I27" s="8"/>
      <c r="J27" s="8">
        <f>'1'!J32</f>
        <v>5.2439024390243905</v>
      </c>
      <c r="K27" s="8">
        <f>'1'!K32</f>
        <v>5.1724137931034484</v>
      </c>
    </row>
    <row r="28" spans="1:13" x14ac:dyDescent="0.3">
      <c r="A28" s="15"/>
      <c r="B28" s="10"/>
      <c r="C28" s="10"/>
      <c r="D28" s="3"/>
      <c r="E28" s="3"/>
      <c r="F28" s="3"/>
      <c r="G28" s="3"/>
      <c r="H28" s="3"/>
      <c r="I28" s="3"/>
      <c r="J28" s="3"/>
      <c r="K28" s="3"/>
    </row>
    <row r="29" spans="1:13" x14ac:dyDescent="0.3">
      <c r="A29" s="24"/>
      <c r="B29" s="25" t="s">
        <v>18</v>
      </c>
      <c r="C29" s="25"/>
      <c r="D29" s="26"/>
      <c r="E29" s="26"/>
      <c r="F29" s="26"/>
      <c r="G29" s="26"/>
      <c r="H29" s="26"/>
      <c r="I29" s="26"/>
      <c r="J29" s="26"/>
      <c r="K29" s="26"/>
    </row>
    <row r="30" spans="1:13" x14ac:dyDescent="0.3">
      <c r="A30" s="15"/>
      <c r="B30" s="10" t="s">
        <v>35</v>
      </c>
      <c r="C30" s="10"/>
      <c r="D30" s="27">
        <f>($N$6-D$27)/100*D$26</f>
        <v>16.970000000000002</v>
      </c>
      <c r="E30" s="27">
        <f>($N$6-E$27)/100*E$26</f>
        <v>9.8499999999999979</v>
      </c>
      <c r="F30" s="27">
        <f>($N$6-F$27)/100*F$26</f>
        <v>0.39999999999999947</v>
      </c>
      <c r="G30" s="27">
        <f>($N$6-G$27)/100*G$26</f>
        <v>1.6500000000000006</v>
      </c>
      <c r="H30" s="27">
        <f>($N$6-H$27)/100*H$26</f>
        <v>2.5699999999999994</v>
      </c>
      <c r="I30" s="27"/>
      <c r="J30" s="27">
        <f>($N$6-J$27)/100*J$26</f>
        <v>1.44</v>
      </c>
      <c r="K30" s="27">
        <f>($N$6-K$27)/100*K$26</f>
        <v>1.06</v>
      </c>
      <c r="L30" s="21"/>
      <c r="M30" s="28"/>
    </row>
    <row r="31" spans="1:13" x14ac:dyDescent="0.3">
      <c r="A31" s="15"/>
      <c r="B31" s="10" t="s">
        <v>39</v>
      </c>
      <c r="C31" s="10"/>
      <c r="D31" s="27">
        <f>($N$7-D$27)/100*D$26</f>
        <v>14.912777476989715</v>
      </c>
      <c r="E31" s="27">
        <f>($N$7-E$27)/100*E$26</f>
        <v>8.6690352738196861</v>
      </c>
      <c r="F31" s="27">
        <f>($N$7-F$27)/100*F$26</f>
        <v>0.21970004180453187</v>
      </c>
      <c r="G31" s="27">
        <f>($N$7-G$27)/100*G$26</f>
        <v>1.4787150397143063</v>
      </c>
      <c r="H31" s="27">
        <f>($N$7-H$27)/100*H$26</f>
        <v>2.2977470631248433</v>
      </c>
      <c r="I31" s="27"/>
      <c r="J31" s="27">
        <f>($N$7-J$27)/100*J$26</f>
        <v>1.2921540342797164</v>
      </c>
      <c r="K31" s="27">
        <f>($N$7-K$27)/100*K$26</f>
        <v>0.9554260242466287</v>
      </c>
      <c r="L31" s="21"/>
      <c r="M31" s="28"/>
    </row>
    <row r="32" spans="1:13" x14ac:dyDescent="0.3">
      <c r="A32" s="15"/>
      <c r="B32" s="10" t="s">
        <v>34</v>
      </c>
      <c r="C32" s="10"/>
      <c r="D32" s="27">
        <f>($N$8-D$27)/100*D$26</f>
        <v>18.436345381526102</v>
      </c>
      <c r="E32" s="27">
        <f>($N$8-E$27)/100*E$26</f>
        <v>10.691767068273091</v>
      </c>
      <c r="F32" s="27">
        <f>($N$8-F$27)/100*F$26</f>
        <v>0.52851405622489889</v>
      </c>
      <c r="G32" s="27">
        <f>($N$8-G$27)/100*G$26</f>
        <v>1.7720883534136551</v>
      </c>
      <c r="H32" s="27">
        <f>($N$8-H$27)/100*H$26</f>
        <v>2.7640562248995977</v>
      </c>
      <c r="I32" s="27"/>
      <c r="J32" s="27">
        <f>($N$8-J$27)/100*J$26</f>
        <v>1.5453815261044175</v>
      </c>
      <c r="K32" s="27">
        <f>($N$8-K$27)/100*K$26</f>
        <v>1.1345381526104414</v>
      </c>
      <c r="L32" s="21"/>
      <c r="M32" s="28"/>
    </row>
    <row r="33" spans="1:12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2" x14ac:dyDescent="0.3">
      <c r="A34" s="18"/>
      <c r="B34" s="13" t="s">
        <v>41</v>
      </c>
      <c r="C34" s="2"/>
      <c r="D34" s="29"/>
      <c r="E34" s="29"/>
      <c r="F34" s="29"/>
      <c r="G34" s="29"/>
      <c r="H34" s="29"/>
      <c r="I34" s="29"/>
      <c r="J34" s="29"/>
      <c r="K34" s="29"/>
    </row>
    <row r="35" spans="1:12" x14ac:dyDescent="0.3">
      <c r="A35" s="15"/>
      <c r="B35" s="10" t="s">
        <v>35</v>
      </c>
      <c r="C35" s="10"/>
      <c r="D35" s="27">
        <f>SUM(D18+$D$23+D30)</f>
        <v>39.924999999999997</v>
      </c>
      <c r="E35" s="27">
        <f>SUM(E18+E30)</f>
        <v>19.709999999999994</v>
      </c>
      <c r="F35" s="27">
        <f t="shared" ref="F35:H35" si="3">SUM(F18+F30)</f>
        <v>0.68999999999999884</v>
      </c>
      <c r="G35" s="27">
        <f t="shared" si="3"/>
        <v>4.0200000000000005</v>
      </c>
      <c r="H35" s="27">
        <f t="shared" si="3"/>
        <v>8.2199999999999989</v>
      </c>
      <c r="I35" s="27"/>
      <c r="J35" s="27">
        <f t="shared" ref="J35:K35" si="4">SUM(J18+J30)</f>
        <v>2.4299999999999997</v>
      </c>
      <c r="K35" s="27">
        <f t="shared" si="4"/>
        <v>2.71</v>
      </c>
      <c r="L35" s="21"/>
    </row>
    <row r="36" spans="1:12" x14ac:dyDescent="0.3">
      <c r="A36" s="15"/>
      <c r="B36" s="10" t="s">
        <v>39</v>
      </c>
      <c r="C36" s="10"/>
      <c r="D36" s="27">
        <f>SUM(D19+$D$23+D31)</f>
        <v>41.197917704859989</v>
      </c>
      <c r="E36" s="27">
        <f t="shared" ref="E36:H37" si="5">SUM(E19+E31)</f>
        <v>20.335640854938269</v>
      </c>
      <c r="F36" s="27">
        <f t="shared" si="5"/>
        <v>0.69540899874586293</v>
      </c>
      <c r="G36" s="27">
        <f t="shared" si="5"/>
        <v>4.0452419941473661</v>
      </c>
      <c r="H36" s="27">
        <f t="shared" si="5"/>
        <v>8.732051881275126</v>
      </c>
      <c r="I36" s="27"/>
      <c r="J36" s="27">
        <f t="shared" ref="J36:K36" si="6">SUM(J19+J31)</f>
        <v>2.4498329954015015</v>
      </c>
      <c r="K36" s="27">
        <f t="shared" si="6"/>
        <v>2.7947409803518695</v>
      </c>
      <c r="L36" s="21"/>
    </row>
    <row r="37" spans="1:12" x14ac:dyDescent="0.3">
      <c r="A37" s="15"/>
      <c r="B37" s="10" t="s">
        <v>34</v>
      </c>
      <c r="C37" s="10"/>
      <c r="D37" s="27">
        <f>SUM(D20+$D$23+D32)</f>
        <v>39.017690763052201</v>
      </c>
      <c r="E37" s="27">
        <f t="shared" si="5"/>
        <v>19.264056224899594</v>
      </c>
      <c r="F37" s="27">
        <f t="shared" si="5"/>
        <v>0.68614457831325193</v>
      </c>
      <c r="G37" s="27">
        <f t="shared" si="5"/>
        <v>4.002008032128515</v>
      </c>
      <c r="H37" s="27">
        <f t="shared" si="5"/>
        <v>7.8550200803212853</v>
      </c>
      <c r="I37" s="27"/>
      <c r="J37" s="27">
        <f t="shared" ref="J37:K37" si="7">SUM(J20+J32)</f>
        <v>2.4158634538152608</v>
      </c>
      <c r="K37" s="27">
        <f t="shared" si="7"/>
        <v>2.6495983935742968</v>
      </c>
      <c r="L37" s="2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A671A-B24D-4B0C-BABF-5E2E0AE67B9E}">
  <dimension ref="A1:W42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8" sqref="D18"/>
    </sheetView>
  </sheetViews>
  <sheetFormatPr defaultRowHeight="14.4" x14ac:dyDescent="0.3"/>
  <cols>
    <col min="1" max="1" width="3.88671875" customWidth="1"/>
    <col min="2" max="2" width="60.109375" bestFit="1" customWidth="1"/>
    <col min="3" max="3" width="12.109375" bestFit="1" customWidth="1"/>
    <col min="4" max="4" width="14.77734375" bestFit="1" customWidth="1"/>
    <col min="5" max="5" width="13.5546875" style="59" bestFit="1" customWidth="1"/>
    <col min="6" max="6" width="13.33203125" bestFit="1" customWidth="1"/>
    <col min="7" max="7" width="24.6640625" bestFit="1" customWidth="1"/>
    <col min="8" max="8" width="13.88671875" bestFit="1" customWidth="1"/>
    <col min="9" max="9" width="16.109375" bestFit="1" customWidth="1"/>
    <col min="10" max="10" width="8.21875" customWidth="1"/>
    <col min="11" max="12" width="13.33203125" customWidth="1"/>
    <col min="13" max="16" width="11.77734375" customWidth="1"/>
    <col min="17" max="17" width="4.33203125" customWidth="1"/>
    <col min="18" max="21" width="11.77734375" customWidth="1"/>
    <col min="22" max="22" width="4.33203125" customWidth="1"/>
    <col min="23" max="23" width="11.6640625" bestFit="1" customWidth="1"/>
  </cols>
  <sheetData>
    <row r="1" spans="1:23" x14ac:dyDescent="0.3">
      <c r="B1" s="1" t="s">
        <v>64</v>
      </c>
      <c r="M1" s="1" t="s">
        <v>77</v>
      </c>
    </row>
    <row r="2" spans="1:23" x14ac:dyDescent="0.3">
      <c r="B2" s="59" t="s">
        <v>84</v>
      </c>
      <c r="C2" s="1" t="s">
        <v>61</v>
      </c>
      <c r="D2" s="1" t="s">
        <v>59</v>
      </c>
      <c r="E2" s="58" t="s">
        <v>63</v>
      </c>
      <c r="M2" s="44" t="s">
        <v>65</v>
      </c>
      <c r="N2" s="44" t="s">
        <v>66</v>
      </c>
      <c r="O2" s="44" t="s">
        <v>67</v>
      </c>
      <c r="P2" s="44" t="s">
        <v>68</v>
      </c>
      <c r="R2" s="47" t="s">
        <v>65</v>
      </c>
      <c r="S2" s="47" t="s">
        <v>66</v>
      </c>
      <c r="T2" s="47" t="s">
        <v>67</v>
      </c>
      <c r="U2" s="47" t="s">
        <v>68</v>
      </c>
    </row>
    <row r="3" spans="1:23" x14ac:dyDescent="0.3">
      <c r="A3" s="17"/>
      <c r="B3" s="2" t="s">
        <v>60</v>
      </c>
      <c r="C3" s="17"/>
      <c r="D3" s="17"/>
      <c r="E3" s="60"/>
      <c r="G3" s="34" t="s">
        <v>69</v>
      </c>
      <c r="H3" s="34" t="s">
        <v>70</v>
      </c>
      <c r="I3" s="34" t="s">
        <v>71</v>
      </c>
      <c r="J3" s="34" t="s">
        <v>72</v>
      </c>
      <c r="M3" s="36" t="s">
        <v>36</v>
      </c>
      <c r="N3" s="36"/>
      <c r="O3" s="36"/>
      <c r="P3" s="36"/>
      <c r="R3" s="36" t="s">
        <v>37</v>
      </c>
      <c r="S3" s="36"/>
      <c r="T3" s="36"/>
      <c r="U3" s="36"/>
      <c r="W3" s="38" t="s">
        <v>41</v>
      </c>
    </row>
    <row r="4" spans="1:23" x14ac:dyDescent="0.3">
      <c r="B4" s="1" t="s">
        <v>30</v>
      </c>
      <c r="C4" s="1">
        <v>1138</v>
      </c>
      <c r="D4" s="1">
        <v>1241.7</v>
      </c>
      <c r="E4" s="58">
        <f>AVERAGE(C4:D4)</f>
        <v>1189.8499999999999</v>
      </c>
      <c r="G4" s="38" t="s">
        <v>76</v>
      </c>
      <c r="H4" s="38"/>
      <c r="I4" s="38"/>
      <c r="J4" s="37">
        <f>SUM(J5:J8,J10:J12)</f>
        <v>39.924999999999983</v>
      </c>
      <c r="L4" s="3" t="s">
        <v>30</v>
      </c>
      <c r="M4" s="45">
        <f>SUM(M5:M25)</f>
        <v>15.555504475354031</v>
      </c>
      <c r="N4" s="43">
        <f>H10</f>
        <v>0.99</v>
      </c>
      <c r="O4" s="40">
        <f>H6</f>
        <v>0.28999999999999942</v>
      </c>
      <c r="P4" s="41">
        <f>H7</f>
        <v>2.37</v>
      </c>
      <c r="R4" s="39">
        <f>I5</f>
        <v>9.8499999999999979</v>
      </c>
      <c r="S4" s="43">
        <f>I10</f>
        <v>1.44</v>
      </c>
      <c r="T4" s="40">
        <f>I6</f>
        <v>0.39999999999999947</v>
      </c>
      <c r="U4" s="41">
        <f>I7</f>
        <v>1.6500000000000006</v>
      </c>
      <c r="W4" s="45">
        <f>SUM(W5:W27)</f>
        <v>39.926556320086796</v>
      </c>
    </row>
    <row r="5" spans="1:23" x14ac:dyDescent="0.3">
      <c r="A5">
        <v>1</v>
      </c>
      <c r="B5" t="s">
        <v>42</v>
      </c>
      <c r="C5">
        <v>55</v>
      </c>
      <c r="D5">
        <v>56.1</v>
      </c>
      <c r="E5" s="61">
        <f>AVERAGE(C5:D5)</f>
        <v>55.55</v>
      </c>
      <c r="G5" s="3" t="s">
        <v>0</v>
      </c>
      <c r="H5" s="30">
        <f>HLOOKUP($G5,'2'!$B$4:$K$37,15,0)</f>
        <v>9.8599999999999959</v>
      </c>
      <c r="I5" s="48">
        <f>HLOOKUP($G5,'2'!$B$4:$K$37,27,0)</f>
        <v>9.8499999999999979</v>
      </c>
      <c r="J5" s="30">
        <f>SUM(H5:I5)</f>
        <v>19.709999999999994</v>
      </c>
      <c r="L5" s="3" t="s">
        <v>42</v>
      </c>
      <c r="M5" s="46">
        <f>(E5/$E$4)*($H$5+$J$12)</f>
        <v>0.5604721183342436</v>
      </c>
      <c r="N5" s="3"/>
      <c r="O5" s="3"/>
      <c r="P5" s="3"/>
      <c r="R5" s="46">
        <f>(E26/$E$25)*$I$5</f>
        <v>0.51014469539217244</v>
      </c>
      <c r="S5" s="3"/>
      <c r="T5" s="3"/>
      <c r="U5" s="3"/>
      <c r="W5" s="35">
        <f>SUM(M5:U5)</f>
        <v>1.070616813726416</v>
      </c>
    </row>
    <row r="6" spans="1:23" x14ac:dyDescent="0.3">
      <c r="A6">
        <v>2</v>
      </c>
      <c r="B6" t="s">
        <v>43</v>
      </c>
      <c r="C6">
        <v>8</v>
      </c>
      <c r="D6">
        <v>8.8000000000000007</v>
      </c>
      <c r="E6" s="61">
        <f t="shared" ref="E6:E21" si="0">AVERAGE(C6:D6)</f>
        <v>8.4</v>
      </c>
      <c r="G6" s="3" t="s">
        <v>1</v>
      </c>
      <c r="H6" s="49">
        <f>HLOOKUP($G6,'2'!$B$4:$K$37,15,0)</f>
        <v>0.28999999999999942</v>
      </c>
      <c r="I6" s="49">
        <f>HLOOKUP($G6,'2'!$B$4:$K$37,27,0)</f>
        <v>0.39999999999999947</v>
      </c>
      <c r="J6" s="30">
        <f t="shared" ref="J6:J8" si="1">SUM(H6:I6)</f>
        <v>0.68999999999999884</v>
      </c>
      <c r="L6" s="3" t="s">
        <v>43</v>
      </c>
      <c r="M6" s="46">
        <f>(E6/$E$4)*($H$5+$J$12)</f>
        <v>8.4751859478085445E-2</v>
      </c>
      <c r="N6" s="3"/>
      <c r="O6" s="3"/>
      <c r="P6" s="3"/>
      <c r="R6" s="46">
        <f t="shared" ref="R6:R15" si="2">(E27/$E$25)*$I$5</f>
        <v>9.5717870681830297E-2</v>
      </c>
      <c r="S6" s="3"/>
      <c r="T6" s="3"/>
      <c r="U6" s="3"/>
      <c r="W6" s="35">
        <f t="shared" ref="W6:W24" si="3">SUM(M6:U6)</f>
        <v>0.18046973015991574</v>
      </c>
    </row>
    <row r="7" spans="1:23" x14ac:dyDescent="0.3">
      <c r="A7">
        <v>3</v>
      </c>
      <c r="B7" t="s">
        <v>44</v>
      </c>
      <c r="C7">
        <v>220</v>
      </c>
      <c r="D7">
        <v>239.8</v>
      </c>
      <c r="E7" s="61">
        <f t="shared" si="0"/>
        <v>229.9</v>
      </c>
      <c r="G7" s="3" t="s">
        <v>2</v>
      </c>
      <c r="H7" s="50">
        <f>HLOOKUP($G7,'2'!$B$4:$K$37,15,0)</f>
        <v>2.37</v>
      </c>
      <c r="I7" s="50">
        <f>HLOOKUP($G7,'2'!$B$4:$K$37,27,0)</f>
        <v>1.6500000000000006</v>
      </c>
      <c r="J7" s="51">
        <f t="shared" si="1"/>
        <v>4.0200000000000005</v>
      </c>
      <c r="L7" s="3" t="s">
        <v>44</v>
      </c>
      <c r="M7" s="46">
        <f t="shared" ref="M7:M15" si="4">(E7/$E$4)*($H$5+$J$12)</f>
        <v>2.3195776778585531</v>
      </c>
      <c r="N7" s="3"/>
      <c r="O7" s="3"/>
      <c r="P7" s="3"/>
      <c r="R7" s="46">
        <f t="shared" si="2"/>
        <v>1.7081958460142022</v>
      </c>
      <c r="S7" s="3"/>
      <c r="T7" s="3"/>
      <c r="U7" s="3"/>
      <c r="W7" s="35">
        <f t="shared" si="3"/>
        <v>4.0277735238727548</v>
      </c>
    </row>
    <row r="8" spans="1:23" x14ac:dyDescent="0.3">
      <c r="A8">
        <v>4</v>
      </c>
      <c r="B8" t="s">
        <v>45</v>
      </c>
      <c r="C8">
        <v>18</v>
      </c>
      <c r="D8">
        <v>19.8</v>
      </c>
      <c r="E8" s="61">
        <f t="shared" si="0"/>
        <v>18.899999999999999</v>
      </c>
      <c r="G8" s="3" t="s">
        <v>73</v>
      </c>
      <c r="H8" s="30">
        <f>HLOOKUP($G8,'2'!$B$4:$K$37,15,0)</f>
        <v>5.6499999999999986</v>
      </c>
      <c r="I8" s="30">
        <f>HLOOKUP($G8,'2'!$B$4:$K$37,27,0)</f>
        <v>2.5699999999999994</v>
      </c>
      <c r="J8" s="51">
        <f t="shared" si="1"/>
        <v>8.2199999999999989</v>
      </c>
      <c r="L8" s="3" t="s">
        <v>45</v>
      </c>
      <c r="M8" s="46">
        <f t="shared" si="4"/>
        <v>0.19069168382569224</v>
      </c>
      <c r="N8" s="3"/>
      <c r="O8" s="3"/>
      <c r="P8" s="3"/>
      <c r="R8" s="46">
        <f t="shared" si="2"/>
        <v>0.13726573762614125</v>
      </c>
      <c r="S8" s="3"/>
      <c r="T8" s="3"/>
      <c r="U8" s="3"/>
      <c r="W8" s="35">
        <f t="shared" si="3"/>
        <v>0.32795742145183349</v>
      </c>
    </row>
    <row r="9" spans="1:23" x14ac:dyDescent="0.3">
      <c r="A9">
        <v>5</v>
      </c>
      <c r="B9" t="s">
        <v>46</v>
      </c>
      <c r="C9">
        <v>12</v>
      </c>
      <c r="D9">
        <v>13.2</v>
      </c>
      <c r="E9" s="61">
        <f t="shared" si="0"/>
        <v>12.6</v>
      </c>
      <c r="G9" s="3" t="s">
        <v>4</v>
      </c>
      <c r="H9" s="52">
        <f>HLOOKUP($G9,'2'!$B$4:$K$37,15,0)</f>
        <v>3.5499999999999994</v>
      </c>
      <c r="I9" s="52">
        <f>HLOOKUP($G9,'2'!$B$4:$K$37,27,0)</f>
        <v>0</v>
      </c>
      <c r="J9" s="51">
        <f t="shared" ref="J9" si="5">SUM(H9:I9)</f>
        <v>3.5499999999999994</v>
      </c>
      <c r="L9" s="3" t="s">
        <v>46</v>
      </c>
      <c r="M9" s="46">
        <f t="shared" si="4"/>
        <v>0.12712778921712817</v>
      </c>
      <c r="N9" s="3"/>
      <c r="O9" s="3"/>
      <c r="P9" s="3"/>
      <c r="R9" s="46">
        <f t="shared" si="2"/>
        <v>9.834748251374871E-2</v>
      </c>
      <c r="S9" s="3"/>
      <c r="T9" s="3"/>
      <c r="U9" s="3"/>
      <c r="W9" s="35">
        <f t="shared" si="3"/>
        <v>0.22547527173087689</v>
      </c>
    </row>
    <row r="10" spans="1:23" x14ac:dyDescent="0.3">
      <c r="A10">
        <v>6</v>
      </c>
      <c r="B10" t="s">
        <v>47</v>
      </c>
      <c r="C10">
        <v>66</v>
      </c>
      <c r="D10">
        <v>73.3</v>
      </c>
      <c r="E10" s="61">
        <f t="shared" si="0"/>
        <v>69.650000000000006</v>
      </c>
      <c r="G10" s="3" t="s">
        <v>5</v>
      </c>
      <c r="H10" s="53">
        <f>HLOOKUP($G10,'2'!$B$4:$K$37,15,0)</f>
        <v>0.99</v>
      </c>
      <c r="I10" s="53">
        <f>HLOOKUP($G10,'2'!$B$4:$K$37,27,0)</f>
        <v>1.44</v>
      </c>
      <c r="J10" s="51">
        <f>SUM(H10:I10)</f>
        <v>2.4299999999999997</v>
      </c>
      <c r="L10" s="3" t="s">
        <v>47</v>
      </c>
      <c r="M10" s="46">
        <f t="shared" si="4"/>
        <v>0.7027341681724586</v>
      </c>
      <c r="N10" s="3"/>
      <c r="O10" s="3"/>
      <c r="P10" s="3"/>
      <c r="R10" s="46">
        <f t="shared" si="2"/>
        <v>0.59797373057824743</v>
      </c>
      <c r="S10" s="3"/>
      <c r="T10" s="3"/>
      <c r="U10" s="3"/>
      <c r="W10" s="35">
        <f t="shared" si="3"/>
        <v>1.3007078987507059</v>
      </c>
    </row>
    <row r="11" spans="1:23" x14ac:dyDescent="0.3">
      <c r="A11">
        <v>7</v>
      </c>
      <c r="B11" t="s">
        <v>48</v>
      </c>
      <c r="C11">
        <v>100</v>
      </c>
      <c r="D11">
        <v>110</v>
      </c>
      <c r="E11" s="61">
        <f t="shared" si="0"/>
        <v>105</v>
      </c>
      <c r="G11" s="3" t="s">
        <v>74</v>
      </c>
      <c r="H11" s="30">
        <f>HLOOKUP($G11,'2'!$B$4:$K$37,15,0)</f>
        <v>1.6499999999999997</v>
      </c>
      <c r="I11" s="30">
        <f>HLOOKUP($G11,'2'!$B$4:$K$37,27,0)</f>
        <v>1.06</v>
      </c>
      <c r="J11" s="51">
        <f>SUM(H11:I11)</f>
        <v>2.71</v>
      </c>
      <c r="L11" s="3" t="s">
        <v>48</v>
      </c>
      <c r="M11" s="46">
        <f t="shared" si="4"/>
        <v>1.059398243476068</v>
      </c>
      <c r="N11" s="3"/>
      <c r="O11" s="3"/>
      <c r="P11" s="3"/>
      <c r="R11" s="46">
        <f t="shared" si="2"/>
        <v>0.82885364942068429</v>
      </c>
      <c r="S11" s="3"/>
      <c r="T11" s="3"/>
      <c r="U11" s="3"/>
      <c r="W11" s="35">
        <f t="shared" si="3"/>
        <v>1.8882518928967524</v>
      </c>
    </row>
    <row r="12" spans="1:23" x14ac:dyDescent="0.3">
      <c r="A12">
        <v>8</v>
      </c>
      <c r="B12" t="s">
        <v>49</v>
      </c>
      <c r="C12">
        <v>78</v>
      </c>
      <c r="D12">
        <v>79.599999999999994</v>
      </c>
      <c r="E12" s="61">
        <f t="shared" si="0"/>
        <v>78.8</v>
      </c>
      <c r="G12" s="3" t="s">
        <v>75</v>
      </c>
      <c r="H12" s="3"/>
      <c r="I12" s="3"/>
      <c r="J12" s="51">
        <f>'2'!D23</f>
        <v>2.1449999999999987</v>
      </c>
      <c r="L12" s="3" t="s">
        <v>49</v>
      </c>
      <c r="M12" s="46">
        <f t="shared" si="4"/>
        <v>0.79505315796108722</v>
      </c>
      <c r="N12" s="3"/>
      <c r="O12" s="3"/>
      <c r="P12" s="3"/>
      <c r="R12" s="46">
        <f t="shared" si="2"/>
        <v>0.69053606706177573</v>
      </c>
      <c r="S12" s="3"/>
      <c r="T12" s="3"/>
      <c r="U12" s="3"/>
      <c r="W12" s="35">
        <f t="shared" si="3"/>
        <v>1.4855892250228631</v>
      </c>
    </row>
    <row r="13" spans="1:23" x14ac:dyDescent="0.3">
      <c r="A13">
        <v>9</v>
      </c>
      <c r="B13" t="s">
        <v>50</v>
      </c>
      <c r="C13">
        <v>110</v>
      </c>
      <c r="D13">
        <v>113.3</v>
      </c>
      <c r="E13" s="61">
        <f t="shared" si="0"/>
        <v>111.65</v>
      </c>
      <c r="L13" s="3" t="s">
        <v>50</v>
      </c>
      <c r="M13" s="46">
        <f t="shared" si="4"/>
        <v>1.1264934655628858</v>
      </c>
      <c r="N13" s="3"/>
      <c r="O13" s="3"/>
      <c r="P13" s="3"/>
      <c r="R13" s="46">
        <f t="shared" si="2"/>
        <v>0.74365422606652765</v>
      </c>
      <c r="S13" s="3"/>
      <c r="T13" s="3"/>
      <c r="U13" s="3"/>
      <c r="W13" s="35">
        <f t="shared" si="3"/>
        <v>1.8701476916294135</v>
      </c>
    </row>
    <row r="14" spans="1:23" x14ac:dyDescent="0.3">
      <c r="A14">
        <v>10</v>
      </c>
      <c r="B14" t="s">
        <v>57</v>
      </c>
      <c r="C14">
        <v>22</v>
      </c>
      <c r="D14">
        <v>23.1</v>
      </c>
      <c r="E14" s="61">
        <f t="shared" si="0"/>
        <v>22.55</v>
      </c>
      <c r="L14" s="3" t="s">
        <v>57</v>
      </c>
      <c r="M14" s="46">
        <f t="shared" si="4"/>
        <v>0.22751838467033655</v>
      </c>
      <c r="N14" s="3"/>
      <c r="O14" s="3"/>
      <c r="P14" s="3"/>
      <c r="R14" s="46">
        <f t="shared" si="2"/>
        <v>0.16040632174702327</v>
      </c>
      <c r="S14" s="3"/>
      <c r="T14" s="3"/>
      <c r="U14" s="3"/>
      <c r="W14" s="35">
        <f t="shared" si="3"/>
        <v>0.38792470641735982</v>
      </c>
    </row>
    <row r="15" spans="1:23" x14ac:dyDescent="0.3">
      <c r="A15">
        <v>11</v>
      </c>
      <c r="B15" t="s">
        <v>51</v>
      </c>
      <c r="C15">
        <v>60</v>
      </c>
      <c r="D15">
        <v>67.2</v>
      </c>
      <c r="E15" s="61">
        <f t="shared" si="0"/>
        <v>63.6</v>
      </c>
      <c r="L15" s="3" t="s">
        <v>51</v>
      </c>
      <c r="M15" s="46">
        <f t="shared" si="4"/>
        <v>0.64169265033407563</v>
      </c>
      <c r="N15" s="3"/>
      <c r="O15" s="3"/>
      <c r="P15" s="3"/>
      <c r="R15" s="46">
        <f t="shared" si="2"/>
        <v>0.51487799668962564</v>
      </c>
      <c r="S15" s="3"/>
      <c r="T15" s="3"/>
      <c r="U15" s="3"/>
      <c r="W15" s="35">
        <f t="shared" si="3"/>
        <v>1.1565706470237012</v>
      </c>
    </row>
    <row r="16" spans="1:23" x14ac:dyDescent="0.3">
      <c r="A16">
        <v>12</v>
      </c>
      <c r="B16" t="s">
        <v>52</v>
      </c>
      <c r="C16">
        <v>45</v>
      </c>
      <c r="D16">
        <v>48.6</v>
      </c>
      <c r="E16" s="61">
        <f t="shared" si="0"/>
        <v>46.8</v>
      </c>
      <c r="L16" s="34" t="s">
        <v>78</v>
      </c>
      <c r="M16" s="42">
        <f>H9</f>
        <v>3.5499999999999994</v>
      </c>
      <c r="N16" s="3"/>
      <c r="O16" s="3"/>
      <c r="P16" s="3"/>
      <c r="R16" s="42">
        <f>I9</f>
        <v>0</v>
      </c>
      <c r="S16" s="3"/>
      <c r="T16" s="3"/>
      <c r="U16" s="3"/>
      <c r="W16" s="35">
        <f t="shared" si="3"/>
        <v>3.5499999999999994</v>
      </c>
    </row>
    <row r="17" spans="1:23" x14ac:dyDescent="0.3">
      <c r="A17">
        <v>13</v>
      </c>
      <c r="B17" t="s">
        <v>53</v>
      </c>
      <c r="C17">
        <v>32</v>
      </c>
      <c r="D17">
        <v>32.6</v>
      </c>
      <c r="E17" s="61">
        <f t="shared" si="0"/>
        <v>32.299999999999997</v>
      </c>
      <c r="L17" s="3" t="s">
        <v>52</v>
      </c>
      <c r="M17" s="46">
        <f>(E16/$E$4)*($H$5+$J$12)</f>
        <v>0.47218893137790457</v>
      </c>
      <c r="N17" s="3"/>
      <c r="O17" s="3"/>
      <c r="P17" s="3"/>
      <c r="R17" s="46">
        <f>(E37/$E$25)*$I$5</f>
        <v>0.39286400768861118</v>
      </c>
      <c r="S17" s="3"/>
      <c r="T17" s="3"/>
      <c r="U17" s="3"/>
      <c r="W17" s="35">
        <f t="shared" si="3"/>
        <v>0.86505293906651581</v>
      </c>
    </row>
    <row r="18" spans="1:23" x14ac:dyDescent="0.3">
      <c r="A18">
        <v>14</v>
      </c>
      <c r="B18" t="s">
        <v>58</v>
      </c>
      <c r="C18">
        <v>120</v>
      </c>
      <c r="D18">
        <v>138</v>
      </c>
      <c r="E18" s="61">
        <f t="shared" si="0"/>
        <v>129</v>
      </c>
      <c r="L18" s="3" t="s">
        <v>53</v>
      </c>
      <c r="M18" s="46">
        <f t="shared" ref="M18:M22" si="6">(E17/$E$4)*($H$5+$J$12)</f>
        <v>0.32589107870739997</v>
      </c>
      <c r="N18" s="3"/>
      <c r="O18" s="3"/>
      <c r="P18" s="3"/>
      <c r="R18" s="46">
        <f t="shared" ref="R18:R22" si="7">(E38/$E$25)*$I$5</f>
        <v>0.23508729777350626</v>
      </c>
      <c r="S18" s="3"/>
      <c r="T18" s="3"/>
      <c r="U18" s="3"/>
      <c r="W18" s="35">
        <f t="shared" si="3"/>
        <v>0.5609783764809062</v>
      </c>
    </row>
    <row r="19" spans="1:23" x14ac:dyDescent="0.3">
      <c r="A19">
        <v>15</v>
      </c>
      <c r="B19" t="s">
        <v>54</v>
      </c>
      <c r="C19">
        <v>150</v>
      </c>
      <c r="D19">
        <v>174</v>
      </c>
      <c r="E19" s="61">
        <f t="shared" si="0"/>
        <v>162</v>
      </c>
      <c r="L19" s="3" t="s">
        <v>58</v>
      </c>
      <c r="M19" s="46">
        <f>(E18/$E$4)*($H$5+$J$12)</f>
        <v>1.3015464134134551</v>
      </c>
      <c r="N19" s="35">
        <f>$N$4*(E18/SUM($E$18:$E$19))</f>
        <v>0.43886597938144328</v>
      </c>
      <c r="O19" s="3"/>
      <c r="P19" s="3"/>
      <c r="R19" s="46">
        <f t="shared" si="7"/>
        <v>1.1317849324576856</v>
      </c>
      <c r="S19" s="35">
        <f>$S$4*(E39/SUM($E$39:$E$40))</f>
        <v>0.59800849093014263</v>
      </c>
      <c r="T19" s="3"/>
      <c r="U19" s="3"/>
      <c r="W19" s="35">
        <f t="shared" si="3"/>
        <v>3.4702058161827267</v>
      </c>
    </row>
    <row r="20" spans="1:23" x14ac:dyDescent="0.3">
      <c r="A20">
        <v>16</v>
      </c>
      <c r="B20" t="s">
        <v>55</v>
      </c>
      <c r="C20">
        <v>17</v>
      </c>
      <c r="D20">
        <v>17.899999999999999</v>
      </c>
      <c r="E20" s="61">
        <f t="shared" si="0"/>
        <v>17.45</v>
      </c>
      <c r="L20" s="3" t="s">
        <v>54</v>
      </c>
      <c r="M20" s="46">
        <f t="shared" si="6"/>
        <v>1.6345001470773621</v>
      </c>
      <c r="N20" s="35">
        <f>$N$4*(E19/SUM($E$18:$E$19))</f>
        <v>0.55113402061855676</v>
      </c>
      <c r="O20" s="3"/>
      <c r="P20" s="3"/>
      <c r="R20" s="46">
        <f t="shared" si="7"/>
        <v>1.5935447701425594</v>
      </c>
      <c r="S20" s="35">
        <f>$S$4*(E40/SUM($E$39:$E$40))</f>
        <v>0.84199150906985698</v>
      </c>
      <c r="T20" s="3"/>
      <c r="U20" s="3"/>
      <c r="W20" s="35">
        <f t="shared" si="3"/>
        <v>4.6211704469083346</v>
      </c>
    </row>
    <row r="21" spans="1:23" x14ac:dyDescent="0.3">
      <c r="A21">
        <v>17</v>
      </c>
      <c r="B21" t="s">
        <v>56</v>
      </c>
      <c r="C21">
        <v>25</v>
      </c>
      <c r="D21">
        <v>26.5</v>
      </c>
      <c r="E21" s="61">
        <f t="shared" si="0"/>
        <v>25.75</v>
      </c>
      <c r="L21" s="3" t="s">
        <v>55</v>
      </c>
      <c r="M21" s="46">
        <f t="shared" si="6"/>
        <v>0.17606189855864179</v>
      </c>
      <c r="N21" s="3"/>
      <c r="O21" s="3"/>
      <c r="P21" s="3"/>
      <c r="R21" s="46">
        <f t="shared" si="7"/>
        <v>0.21562817021730998</v>
      </c>
      <c r="S21" s="3"/>
      <c r="T21" s="3"/>
      <c r="U21" s="3"/>
      <c r="W21" s="35">
        <f t="shared" si="3"/>
        <v>0.39169006877595181</v>
      </c>
    </row>
    <row r="22" spans="1:23" x14ac:dyDescent="0.3">
      <c r="E22" s="61"/>
      <c r="L22" s="3" t="s">
        <v>56</v>
      </c>
      <c r="M22" s="46">
        <f t="shared" si="6"/>
        <v>0.2598048073286548</v>
      </c>
      <c r="N22" s="3"/>
      <c r="O22" s="3"/>
      <c r="P22" s="3"/>
      <c r="R22" s="46">
        <f t="shared" si="7"/>
        <v>0.19616904266111371</v>
      </c>
      <c r="S22" s="3"/>
      <c r="T22" s="3"/>
      <c r="U22" s="3"/>
      <c r="W22" s="35">
        <f t="shared" si="3"/>
        <v>0.45597384998976853</v>
      </c>
    </row>
    <row r="23" spans="1:23" x14ac:dyDescent="0.3">
      <c r="E23" s="61"/>
      <c r="L23" s="3" t="s">
        <v>80</v>
      </c>
      <c r="M23" s="46"/>
      <c r="N23" s="3"/>
      <c r="O23" s="3">
        <f>O4</f>
        <v>0.28999999999999942</v>
      </c>
      <c r="P23" s="3"/>
      <c r="R23" s="3"/>
      <c r="S23" s="3"/>
      <c r="T23" s="3">
        <f>T4</f>
        <v>0.39999999999999947</v>
      </c>
      <c r="U23" s="3"/>
      <c r="W23" s="35">
        <f t="shared" si="3"/>
        <v>0.68999999999999884</v>
      </c>
    </row>
    <row r="24" spans="1:23" x14ac:dyDescent="0.3">
      <c r="A24" s="17"/>
      <c r="B24" s="2" t="s">
        <v>62</v>
      </c>
      <c r="C24" s="17"/>
      <c r="D24" s="17"/>
      <c r="E24" s="60"/>
      <c r="L24" s="3" t="s">
        <v>81</v>
      </c>
      <c r="M24" s="46"/>
      <c r="N24" s="3"/>
      <c r="O24" s="3"/>
      <c r="P24" s="3">
        <f>P4</f>
        <v>2.37</v>
      </c>
      <c r="R24" s="3"/>
      <c r="S24" s="3"/>
      <c r="T24" s="3"/>
      <c r="U24" s="3">
        <f>U4</f>
        <v>1.6500000000000006</v>
      </c>
      <c r="W24" s="35">
        <f t="shared" si="3"/>
        <v>4.0200000000000005</v>
      </c>
    </row>
    <row r="25" spans="1:23" x14ac:dyDescent="0.3">
      <c r="B25" s="1" t="s">
        <v>30</v>
      </c>
      <c r="C25" s="1">
        <v>924</v>
      </c>
      <c r="D25" s="1">
        <v>948.9</v>
      </c>
      <c r="E25" s="58">
        <f t="shared" ref="E25:E42" si="8">AVERAGE(C25:D25)</f>
        <v>936.45</v>
      </c>
      <c r="L25" s="3" t="s">
        <v>82</v>
      </c>
      <c r="M25" s="46"/>
      <c r="N25" s="3"/>
      <c r="O25" s="3"/>
      <c r="P25" s="3"/>
      <c r="R25" s="3"/>
      <c r="S25" s="3"/>
      <c r="T25" s="3"/>
      <c r="U25" s="3"/>
      <c r="W25" s="35">
        <f>J11</f>
        <v>2.71</v>
      </c>
    </row>
    <row r="26" spans="1:23" x14ac:dyDescent="0.3">
      <c r="A26">
        <v>19</v>
      </c>
      <c r="B26" t="s">
        <v>42</v>
      </c>
      <c r="C26">
        <v>48</v>
      </c>
      <c r="D26">
        <v>49</v>
      </c>
      <c r="E26" s="61">
        <f t="shared" si="8"/>
        <v>48.5</v>
      </c>
      <c r="L26" s="3"/>
      <c r="M26" s="3"/>
      <c r="N26" s="3"/>
      <c r="O26" s="3"/>
      <c r="P26" s="3"/>
      <c r="R26" s="3"/>
      <c r="S26" s="3"/>
      <c r="T26" s="3"/>
      <c r="U26" s="3"/>
      <c r="W26" s="35"/>
    </row>
    <row r="27" spans="1:23" x14ac:dyDescent="0.3">
      <c r="A27">
        <v>20</v>
      </c>
      <c r="B27" t="s">
        <v>43</v>
      </c>
      <c r="C27">
        <v>9</v>
      </c>
      <c r="D27">
        <v>9.1999999999999993</v>
      </c>
      <c r="E27" s="61">
        <f t="shared" si="8"/>
        <v>9.1</v>
      </c>
      <c r="L27" s="34" t="s">
        <v>79</v>
      </c>
      <c r="M27" s="3"/>
      <c r="N27" s="3"/>
      <c r="O27" s="3"/>
      <c r="P27" s="3"/>
      <c r="R27" s="3"/>
      <c r="S27" s="3"/>
      <c r="T27" s="3"/>
      <c r="U27" s="3"/>
      <c r="W27" s="35">
        <f>J8-J9</f>
        <v>4.67</v>
      </c>
    </row>
    <row r="28" spans="1:23" x14ac:dyDescent="0.3">
      <c r="A28">
        <v>21</v>
      </c>
      <c r="B28" t="s">
        <v>44</v>
      </c>
      <c r="C28">
        <v>160</v>
      </c>
      <c r="D28">
        <v>164.8</v>
      </c>
      <c r="E28" s="61">
        <f t="shared" si="8"/>
        <v>162.4</v>
      </c>
    </row>
    <row r="29" spans="1:23" x14ac:dyDescent="0.3">
      <c r="A29">
        <v>22</v>
      </c>
      <c r="B29" t="s">
        <v>45</v>
      </c>
      <c r="C29">
        <v>13</v>
      </c>
      <c r="D29">
        <v>13.1</v>
      </c>
      <c r="E29" s="61">
        <f t="shared" si="8"/>
        <v>13.05</v>
      </c>
    </row>
    <row r="30" spans="1:23" x14ac:dyDescent="0.3">
      <c r="A30">
        <v>23</v>
      </c>
      <c r="B30" t="s">
        <v>46</v>
      </c>
      <c r="C30">
        <v>9</v>
      </c>
      <c r="D30">
        <v>9.6999999999999993</v>
      </c>
      <c r="E30" s="61">
        <f t="shared" si="8"/>
        <v>9.35</v>
      </c>
    </row>
    <row r="31" spans="1:23" x14ac:dyDescent="0.3">
      <c r="A31">
        <v>24</v>
      </c>
      <c r="B31" t="s">
        <v>47</v>
      </c>
      <c r="C31">
        <v>56</v>
      </c>
      <c r="D31">
        <v>57.7</v>
      </c>
      <c r="E31" s="61">
        <f t="shared" si="8"/>
        <v>56.85</v>
      </c>
    </row>
    <row r="32" spans="1:23" x14ac:dyDescent="0.3">
      <c r="A32">
        <v>25</v>
      </c>
      <c r="B32" t="s">
        <v>48</v>
      </c>
      <c r="C32">
        <v>78</v>
      </c>
      <c r="D32">
        <v>79.599999999999994</v>
      </c>
      <c r="E32" s="61">
        <f t="shared" si="8"/>
        <v>78.8</v>
      </c>
    </row>
    <row r="33" spans="1:5" x14ac:dyDescent="0.3">
      <c r="A33">
        <v>26</v>
      </c>
      <c r="B33" t="s">
        <v>49</v>
      </c>
      <c r="C33">
        <v>65</v>
      </c>
      <c r="D33">
        <v>66.3</v>
      </c>
      <c r="E33" s="61">
        <f t="shared" si="8"/>
        <v>65.650000000000006</v>
      </c>
    </row>
    <row r="34" spans="1:5" x14ac:dyDescent="0.3">
      <c r="A34">
        <v>27</v>
      </c>
      <c r="B34" t="s">
        <v>50</v>
      </c>
      <c r="C34">
        <v>70</v>
      </c>
      <c r="D34">
        <v>71.400000000000006</v>
      </c>
      <c r="E34" s="61">
        <f t="shared" si="8"/>
        <v>70.7</v>
      </c>
    </row>
    <row r="35" spans="1:5" x14ac:dyDescent="0.3">
      <c r="A35">
        <v>28</v>
      </c>
      <c r="B35" t="s">
        <v>57</v>
      </c>
      <c r="C35">
        <v>15</v>
      </c>
      <c r="D35">
        <v>15.5</v>
      </c>
      <c r="E35" s="61">
        <f t="shared" si="8"/>
        <v>15.25</v>
      </c>
    </row>
    <row r="36" spans="1:5" x14ac:dyDescent="0.3">
      <c r="A36">
        <v>29</v>
      </c>
      <c r="B36" t="s">
        <v>51</v>
      </c>
      <c r="C36">
        <v>48</v>
      </c>
      <c r="D36">
        <v>49.9</v>
      </c>
      <c r="E36" s="61">
        <f t="shared" si="8"/>
        <v>48.95</v>
      </c>
    </row>
    <row r="37" spans="1:5" x14ac:dyDescent="0.3">
      <c r="A37">
        <v>30</v>
      </c>
      <c r="B37" t="s">
        <v>52</v>
      </c>
      <c r="C37">
        <v>37</v>
      </c>
      <c r="D37">
        <v>37.700000000000003</v>
      </c>
      <c r="E37" s="61">
        <f t="shared" si="8"/>
        <v>37.35</v>
      </c>
    </row>
    <row r="38" spans="1:5" x14ac:dyDescent="0.3">
      <c r="A38">
        <v>31</v>
      </c>
      <c r="B38" t="s">
        <v>53</v>
      </c>
      <c r="C38">
        <v>22</v>
      </c>
      <c r="D38">
        <v>22.7</v>
      </c>
      <c r="E38" s="61">
        <f t="shared" si="8"/>
        <v>22.35</v>
      </c>
    </row>
    <row r="39" spans="1:5" x14ac:dyDescent="0.3">
      <c r="A39">
        <v>32</v>
      </c>
      <c r="B39" t="s">
        <v>58</v>
      </c>
      <c r="C39">
        <v>106</v>
      </c>
      <c r="D39">
        <v>109.2</v>
      </c>
      <c r="E39" s="61">
        <f t="shared" si="8"/>
        <v>107.6</v>
      </c>
    </row>
    <row r="40" spans="1:5" x14ac:dyDescent="0.3">
      <c r="A40">
        <v>33</v>
      </c>
      <c r="B40" t="s">
        <v>54</v>
      </c>
      <c r="C40">
        <v>150</v>
      </c>
      <c r="D40">
        <v>153</v>
      </c>
      <c r="E40" s="61">
        <f t="shared" si="8"/>
        <v>151.5</v>
      </c>
    </row>
    <row r="41" spans="1:5" x14ac:dyDescent="0.3">
      <c r="A41">
        <v>34</v>
      </c>
      <c r="B41" t="s">
        <v>55</v>
      </c>
      <c r="C41">
        <v>20</v>
      </c>
      <c r="D41">
        <v>21</v>
      </c>
      <c r="E41" s="61">
        <f t="shared" si="8"/>
        <v>20.5</v>
      </c>
    </row>
    <row r="42" spans="1:5" x14ac:dyDescent="0.3">
      <c r="A42">
        <v>35</v>
      </c>
      <c r="B42" t="s">
        <v>56</v>
      </c>
      <c r="C42">
        <v>18</v>
      </c>
      <c r="D42">
        <v>19.3</v>
      </c>
      <c r="E42" s="61">
        <f t="shared" si="8"/>
        <v>18.649999999999999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419F3-8E79-4250-902E-79B78CA13067}">
  <dimension ref="A1:W65"/>
  <sheetViews>
    <sheetView tabSelected="1" zoomScaleNormal="100" workbookViewId="0">
      <pane xSplit="2" topLeftCell="G1" activePane="topRight" state="frozen"/>
      <selection pane="topRight" activeCell="N5" sqref="N5"/>
    </sheetView>
  </sheetViews>
  <sheetFormatPr defaultRowHeight="14.4" x14ac:dyDescent="0.3"/>
  <cols>
    <col min="1" max="1" width="3.44140625" customWidth="1"/>
    <col min="2" max="2" width="28.44140625" customWidth="1"/>
    <col min="3" max="4" width="11.88671875" customWidth="1"/>
    <col min="5" max="5" width="15.21875" customWidth="1"/>
    <col min="6" max="10" width="11.88671875" customWidth="1"/>
    <col min="11" max="11" width="14.33203125" customWidth="1"/>
    <col min="12" max="13" width="11.88671875" customWidth="1"/>
    <col min="14" max="14" width="14.21875" customWidth="1"/>
    <col min="15" max="16" width="11.88671875" customWidth="1"/>
    <col min="17" max="17" width="13.44140625" bestFit="1" customWidth="1"/>
  </cols>
  <sheetData>
    <row r="1" spans="1:19" x14ac:dyDescent="0.3">
      <c r="A1" s="17"/>
      <c r="B1" s="2" t="s">
        <v>77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 x14ac:dyDescent="0.3">
      <c r="B2" s="59" t="s">
        <v>85</v>
      </c>
    </row>
    <row r="4" spans="1:19" s="62" customFormat="1" ht="43.2" x14ac:dyDescent="0.3">
      <c r="B4" s="63" t="s">
        <v>69</v>
      </c>
      <c r="C4" s="63" t="s">
        <v>76</v>
      </c>
      <c r="D4" s="63" t="s">
        <v>0</v>
      </c>
      <c r="E4" s="63" t="s">
        <v>1</v>
      </c>
      <c r="F4" s="63" t="s">
        <v>2</v>
      </c>
      <c r="G4" s="63" t="s">
        <v>73</v>
      </c>
      <c r="H4" s="63" t="s">
        <v>4</v>
      </c>
      <c r="I4" s="63" t="s">
        <v>5</v>
      </c>
      <c r="J4" s="63" t="s">
        <v>74</v>
      </c>
      <c r="K4" s="63" t="s">
        <v>75</v>
      </c>
    </row>
    <row r="5" spans="1:19" x14ac:dyDescent="0.3">
      <c r="B5" s="3" t="s">
        <v>70</v>
      </c>
      <c r="C5" s="35">
        <f>'2'!D18</f>
        <v>20.809999999999992</v>
      </c>
      <c r="D5" s="35">
        <f>'2'!E18</f>
        <v>9.8599999999999959</v>
      </c>
      <c r="E5" s="35">
        <f>'2'!F18</f>
        <v>0.28999999999999942</v>
      </c>
      <c r="F5" s="35">
        <f>'2'!G18</f>
        <v>2.37</v>
      </c>
      <c r="G5" s="35">
        <f>'2'!H18</f>
        <v>5.6499999999999986</v>
      </c>
      <c r="H5" s="35">
        <f>'2'!I18</f>
        <v>3.5499999999999994</v>
      </c>
      <c r="I5" s="35">
        <f>'2'!J18</f>
        <v>0.99</v>
      </c>
      <c r="J5" s="35">
        <f>'2'!K18</f>
        <v>1.6499999999999997</v>
      </c>
      <c r="K5" s="35"/>
      <c r="L5" s="62"/>
    </row>
    <row r="6" spans="1:19" x14ac:dyDescent="0.3">
      <c r="B6" s="3" t="s">
        <v>71</v>
      </c>
      <c r="C6" s="35">
        <f>'2'!D30</f>
        <v>16.970000000000002</v>
      </c>
      <c r="D6" s="35">
        <f>'2'!E30</f>
        <v>9.8499999999999979</v>
      </c>
      <c r="E6" s="35">
        <f>'2'!F30</f>
        <v>0.39999999999999947</v>
      </c>
      <c r="F6" s="35">
        <f>'2'!G30</f>
        <v>1.6500000000000006</v>
      </c>
      <c r="G6" s="35">
        <f>'2'!H30</f>
        <v>2.5699999999999994</v>
      </c>
      <c r="H6" s="35">
        <f>'2'!I30</f>
        <v>0</v>
      </c>
      <c r="I6" s="35">
        <f>'2'!J30</f>
        <v>1.44</v>
      </c>
      <c r="J6" s="35">
        <f>'2'!K30</f>
        <v>1.06</v>
      </c>
      <c r="K6" s="35"/>
      <c r="L6" s="62"/>
    </row>
    <row r="7" spans="1:19" x14ac:dyDescent="0.3">
      <c r="B7" s="3" t="s">
        <v>72</v>
      </c>
      <c r="C7" s="35">
        <f>SUM(D7:G7,I7:K7)</f>
        <v>39.924999999999983</v>
      </c>
      <c r="D7" s="48">
        <f>SUM(D5:D6)</f>
        <v>19.709999999999994</v>
      </c>
      <c r="E7" s="49">
        <f t="shared" ref="E7:J7" si="0">SUM(E5:E6)</f>
        <v>0.68999999999999884</v>
      </c>
      <c r="F7" s="50">
        <f t="shared" si="0"/>
        <v>4.0200000000000005</v>
      </c>
      <c r="G7" s="35">
        <f t="shared" si="0"/>
        <v>8.2199999999999989</v>
      </c>
      <c r="H7" s="52">
        <f t="shared" si="0"/>
        <v>3.5499999999999994</v>
      </c>
      <c r="I7" s="53">
        <f t="shared" si="0"/>
        <v>2.4299999999999997</v>
      </c>
      <c r="J7" s="35">
        <f t="shared" si="0"/>
        <v>2.71</v>
      </c>
      <c r="K7" s="48">
        <f>'2'!D23</f>
        <v>2.1449999999999987</v>
      </c>
      <c r="L7" s="62"/>
    </row>
    <row r="10" spans="1:19" x14ac:dyDescent="0.3">
      <c r="B10" s="65"/>
      <c r="C10" s="70" t="s">
        <v>86</v>
      </c>
      <c r="D10" s="101" t="s">
        <v>87</v>
      </c>
      <c r="E10" s="102"/>
      <c r="F10" s="102"/>
      <c r="G10" s="102"/>
      <c r="H10" s="102"/>
      <c r="I10" s="103" t="s">
        <v>88</v>
      </c>
      <c r="J10" s="104"/>
      <c r="K10" s="104"/>
      <c r="L10" s="72" t="s">
        <v>89</v>
      </c>
      <c r="M10" s="72" t="s">
        <v>90</v>
      </c>
      <c r="N10" s="72" t="s">
        <v>91</v>
      </c>
      <c r="O10" s="72" t="s">
        <v>92</v>
      </c>
      <c r="P10" s="72" t="s">
        <v>93</v>
      </c>
      <c r="Q10" s="72" t="s">
        <v>94</v>
      </c>
    </row>
    <row r="11" spans="1:19" x14ac:dyDescent="0.3">
      <c r="B11" s="3" t="s">
        <v>96</v>
      </c>
      <c r="C11" s="76">
        <v>83.333333333333329</v>
      </c>
      <c r="D11" s="105">
        <v>208.33333333333331</v>
      </c>
      <c r="E11" s="105"/>
      <c r="F11" s="105"/>
      <c r="G11" s="105"/>
      <c r="H11" s="105"/>
      <c r="I11" s="106">
        <v>125</v>
      </c>
      <c r="J11" s="106"/>
      <c r="K11" s="106"/>
      <c r="L11" s="77">
        <v>83.333333333333329</v>
      </c>
      <c r="M11" s="77">
        <v>58.333333333333336</v>
      </c>
      <c r="N11" s="77">
        <v>16.666666666666668</v>
      </c>
      <c r="O11" s="77">
        <v>8.3333333333333304</v>
      </c>
      <c r="P11" s="77">
        <v>16.6666666666667</v>
      </c>
      <c r="Q11" s="77">
        <v>25</v>
      </c>
    </row>
    <row r="12" spans="1:19" x14ac:dyDescent="0.3">
      <c r="B12" s="3" t="s">
        <v>95</v>
      </c>
      <c r="C12" s="64">
        <f>($D$7+$K$7)*(C11/SUM($C$11:$K$11))</f>
        <v>4.3709999999999987</v>
      </c>
      <c r="D12" s="107">
        <f>($D$7+$K$7)*(D11/SUM($C$11:$K$11))</f>
        <v>10.927499999999997</v>
      </c>
      <c r="E12" s="108"/>
      <c r="F12" s="108"/>
      <c r="G12" s="108"/>
      <c r="H12" s="108"/>
      <c r="I12" s="109">
        <f>($D$7+$K$7)*(I11/SUM($C$11:$K$11))</f>
        <v>6.5564999999999989</v>
      </c>
      <c r="J12" s="110"/>
      <c r="K12" s="110"/>
      <c r="L12" s="49">
        <f>E7</f>
        <v>0.68999999999999884</v>
      </c>
      <c r="M12" s="50">
        <f>F7</f>
        <v>4.0200000000000005</v>
      </c>
      <c r="N12" s="53">
        <f>I7</f>
        <v>2.4299999999999997</v>
      </c>
      <c r="O12" s="35">
        <f>($G$7-$H$7)*(O11/SUM($O$11,$Q$11))</f>
        <v>1.1674999999999998</v>
      </c>
      <c r="P12" s="52">
        <f>H7</f>
        <v>3.5499999999999994</v>
      </c>
      <c r="Q12" s="35">
        <f>($G$7-$H$7)*(Q11/SUM($O$11,$Q$11))</f>
        <v>3.5025000000000004</v>
      </c>
      <c r="R12" s="33">
        <f>SUM(C12:Q12)</f>
        <v>37.214999999999989</v>
      </c>
      <c r="S12" s="33"/>
    </row>
    <row r="15" spans="1:19" s="71" customFormat="1" ht="20.399999999999999" x14ac:dyDescent="0.3">
      <c r="B15"/>
      <c r="C15" s="70" t="s">
        <v>86</v>
      </c>
      <c r="D15" s="73" t="s">
        <v>101</v>
      </c>
      <c r="E15" s="73" t="s">
        <v>102</v>
      </c>
      <c r="F15" s="112" t="s">
        <v>103</v>
      </c>
      <c r="G15" s="113"/>
      <c r="H15" s="114"/>
      <c r="I15" s="72" t="s">
        <v>97</v>
      </c>
      <c r="J15" s="103" t="s">
        <v>98</v>
      </c>
      <c r="K15" s="104"/>
      <c r="L15" s="72" t="s">
        <v>89</v>
      </c>
      <c r="M15" s="72" t="s">
        <v>90</v>
      </c>
      <c r="N15" s="72" t="s">
        <v>91</v>
      </c>
      <c r="O15" s="72" t="s">
        <v>92</v>
      </c>
      <c r="P15" s="72" t="s">
        <v>93</v>
      </c>
      <c r="Q15" s="72" t="s">
        <v>94</v>
      </c>
    </row>
    <row r="16" spans="1:19" x14ac:dyDescent="0.3">
      <c r="B16" s="3" t="s">
        <v>100</v>
      </c>
      <c r="C16" s="74">
        <f>C11</f>
        <v>83.333333333333329</v>
      </c>
      <c r="D16" s="75">
        <v>41.6</v>
      </c>
      <c r="E16" s="75">
        <v>41.6</v>
      </c>
      <c r="F16" s="111">
        <v>124.8</v>
      </c>
      <c r="G16" s="111"/>
      <c r="H16" s="111"/>
      <c r="I16" s="75">
        <v>41.666666666666664</v>
      </c>
      <c r="J16" s="111">
        <v>83.333333333333329</v>
      </c>
      <c r="K16" s="111"/>
      <c r="L16" s="74">
        <f>L11</f>
        <v>83.333333333333329</v>
      </c>
      <c r="M16" s="74">
        <f t="shared" ref="M16:Q16" si="1">M11</f>
        <v>58.333333333333336</v>
      </c>
      <c r="N16" s="74">
        <f t="shared" si="1"/>
        <v>16.666666666666668</v>
      </c>
      <c r="O16" s="74">
        <f t="shared" si="1"/>
        <v>8.3333333333333304</v>
      </c>
      <c r="P16" s="74">
        <f t="shared" si="1"/>
        <v>16.6666666666667</v>
      </c>
      <c r="Q16" s="74">
        <f t="shared" si="1"/>
        <v>25</v>
      </c>
    </row>
    <row r="17" spans="2:19" x14ac:dyDescent="0.3">
      <c r="B17" s="3" t="s">
        <v>99</v>
      </c>
      <c r="C17" s="66">
        <f>C12</f>
        <v>4.3709999999999987</v>
      </c>
      <c r="D17" s="69">
        <f>$D$12*(D16/SUM($D$16:$H$16))</f>
        <v>2.1854999999999993</v>
      </c>
      <c r="E17" s="69">
        <f>$D$12*(E16/SUM($D$16:$H$16))</f>
        <v>2.1854999999999993</v>
      </c>
      <c r="F17" s="115">
        <f>$D$12*(F16/SUM($D$16:$H$16))</f>
        <v>6.556499999999998</v>
      </c>
      <c r="G17" s="115"/>
      <c r="H17" s="115"/>
      <c r="I17" s="48">
        <f>$I$12*(I16/SUM($I$16:$K$16))</f>
        <v>2.1854999999999993</v>
      </c>
      <c r="J17" s="115">
        <f>$I$12*(J16/SUM($I$16:$K$16))</f>
        <v>4.3709999999999987</v>
      </c>
      <c r="K17" s="115"/>
      <c r="L17" s="67">
        <f>L12</f>
        <v>0.68999999999999884</v>
      </c>
      <c r="M17" s="67">
        <f>M12</f>
        <v>4.0200000000000005</v>
      </c>
      <c r="N17" s="67">
        <f>N12</f>
        <v>2.4299999999999997</v>
      </c>
      <c r="O17" s="68">
        <f>O12</f>
        <v>1.1674999999999998</v>
      </c>
      <c r="P17" s="67">
        <f>P12</f>
        <v>3.5499999999999994</v>
      </c>
      <c r="Q17" s="68">
        <f>Q12</f>
        <v>3.5025000000000004</v>
      </c>
      <c r="R17" s="33">
        <f>SUM(C17:Q17)</f>
        <v>37.214999999999989</v>
      </c>
      <c r="S17" s="33"/>
    </row>
    <row r="20" spans="2:19" ht="20.399999999999999" x14ac:dyDescent="0.3">
      <c r="C20" s="72" t="s">
        <v>86</v>
      </c>
      <c r="D20" s="73" t="s">
        <v>101</v>
      </c>
      <c r="E20" s="73" t="s">
        <v>102</v>
      </c>
      <c r="F20" s="73" t="s">
        <v>105</v>
      </c>
      <c r="G20" s="73" t="s">
        <v>106</v>
      </c>
      <c r="H20" s="72" t="s">
        <v>108</v>
      </c>
      <c r="I20" s="72" t="s">
        <v>97</v>
      </c>
      <c r="J20" s="70" t="s">
        <v>107</v>
      </c>
      <c r="K20" s="70" t="s">
        <v>98</v>
      </c>
      <c r="L20" s="72" t="s">
        <v>89</v>
      </c>
      <c r="M20" s="72" t="s">
        <v>90</v>
      </c>
      <c r="N20" s="72" t="s">
        <v>91</v>
      </c>
      <c r="O20" s="72" t="s">
        <v>92</v>
      </c>
      <c r="P20" s="72" t="s">
        <v>93</v>
      </c>
      <c r="Q20" s="72" t="s">
        <v>94</v>
      </c>
    </row>
    <row r="21" spans="2:19" s="71" customFormat="1" ht="43.2" x14ac:dyDescent="0.3">
      <c r="B21" s="79" t="s">
        <v>104</v>
      </c>
      <c r="C21" s="80">
        <f>C16</f>
        <v>83.333333333333329</v>
      </c>
      <c r="D21" s="80">
        <f>D16</f>
        <v>41.6</v>
      </c>
      <c r="E21" s="80">
        <f>E16</f>
        <v>41.6</v>
      </c>
      <c r="F21" s="81">
        <v>24</v>
      </c>
      <c r="G21" s="82">
        <v>32</v>
      </c>
      <c r="H21" s="82">
        <v>64</v>
      </c>
      <c r="I21" s="80">
        <f>I16</f>
        <v>41.666666666666664</v>
      </c>
      <c r="J21" s="82">
        <v>28</v>
      </c>
      <c r="K21" s="82">
        <v>42</v>
      </c>
      <c r="L21" s="80">
        <f>L16</f>
        <v>83.333333333333329</v>
      </c>
      <c r="M21" s="80">
        <f t="shared" ref="M21:Q21" si="2">M16</f>
        <v>58.333333333333336</v>
      </c>
      <c r="N21" s="80">
        <f t="shared" si="2"/>
        <v>16.666666666666668</v>
      </c>
      <c r="O21" s="80">
        <f t="shared" si="2"/>
        <v>8.3333333333333304</v>
      </c>
      <c r="P21" s="80">
        <f t="shared" si="2"/>
        <v>16.6666666666667</v>
      </c>
      <c r="Q21" s="80">
        <f t="shared" si="2"/>
        <v>25</v>
      </c>
    </row>
    <row r="22" spans="2:19" x14ac:dyDescent="0.3">
      <c r="B22" s="3" t="s">
        <v>99</v>
      </c>
      <c r="C22" s="78">
        <f>C17</f>
        <v>4.3709999999999987</v>
      </c>
      <c r="D22" s="78">
        <f t="shared" ref="D22:E22" si="3">D17</f>
        <v>2.1854999999999993</v>
      </c>
      <c r="E22" s="78">
        <f t="shared" si="3"/>
        <v>2.1854999999999993</v>
      </c>
      <c r="F22" s="83">
        <f>$F$17*(F21/SUM($F$21:$H$21))</f>
        <v>1.3112999999999997</v>
      </c>
      <c r="G22" s="83">
        <f>$F$17*(G21/SUM($F$21:$H$21))</f>
        <v>1.7483999999999995</v>
      </c>
      <c r="H22" s="83">
        <f>$F$17*(H21/SUM($F$21:$H$21))</f>
        <v>3.496799999999999</v>
      </c>
      <c r="I22" s="78">
        <f>I17</f>
        <v>2.1854999999999993</v>
      </c>
      <c r="J22" s="83">
        <f>$J$17*(J21/SUM($J$21:$K$21))</f>
        <v>1.7483999999999995</v>
      </c>
      <c r="K22" s="83">
        <f>$J$17*(K21/SUM($J$21:$K$21))</f>
        <v>2.6225999999999989</v>
      </c>
      <c r="L22" s="78">
        <f>L17</f>
        <v>0.68999999999999884</v>
      </c>
      <c r="M22" s="35">
        <f t="shared" ref="M22:Q22" si="4">M17</f>
        <v>4.0200000000000005</v>
      </c>
      <c r="N22" s="35">
        <f t="shared" si="4"/>
        <v>2.4299999999999997</v>
      </c>
      <c r="O22" s="35">
        <f t="shared" si="4"/>
        <v>1.1674999999999998</v>
      </c>
      <c r="P22" s="35">
        <f t="shared" si="4"/>
        <v>3.5499999999999994</v>
      </c>
      <c r="Q22" s="85">
        <f t="shared" si="4"/>
        <v>3.5025000000000004</v>
      </c>
      <c r="R22" s="33">
        <f>SUM(C22:Q22)</f>
        <v>37.214999999999989</v>
      </c>
      <c r="S22" s="33"/>
    </row>
    <row r="26" spans="2:19" ht="20.399999999999999" x14ac:dyDescent="0.3">
      <c r="C26" s="72" t="s">
        <v>86</v>
      </c>
      <c r="D26" s="73" t="s">
        <v>101</v>
      </c>
      <c r="E26" s="73" t="s">
        <v>102</v>
      </c>
      <c r="F26" s="73" t="s">
        <v>105</v>
      </c>
      <c r="G26" s="73" t="s">
        <v>106</v>
      </c>
      <c r="H26" s="72" t="s">
        <v>108</v>
      </c>
      <c r="I26" s="72" t="s">
        <v>97</v>
      </c>
      <c r="J26" s="70" t="s">
        <v>107</v>
      </c>
      <c r="K26" s="70" t="s">
        <v>98</v>
      </c>
      <c r="L26" s="72" t="s">
        <v>89</v>
      </c>
      <c r="M26" s="72" t="s">
        <v>90</v>
      </c>
      <c r="N26" s="72" t="s">
        <v>91</v>
      </c>
      <c r="O26" s="72" t="s">
        <v>92</v>
      </c>
      <c r="P26" s="72" t="s">
        <v>93</v>
      </c>
      <c r="Q26" s="72" t="s">
        <v>94</v>
      </c>
    </row>
    <row r="27" spans="2:19" x14ac:dyDescent="0.3">
      <c r="B27" s="79" t="s">
        <v>109</v>
      </c>
      <c r="C27" s="84">
        <v>50</v>
      </c>
      <c r="D27" s="84">
        <v>8</v>
      </c>
      <c r="E27" s="84">
        <v>10</v>
      </c>
      <c r="F27" s="84">
        <v>5</v>
      </c>
      <c r="G27" s="84">
        <v>2</v>
      </c>
      <c r="H27" s="84"/>
      <c r="I27" s="84">
        <v>2</v>
      </c>
    </row>
    <row r="28" spans="2:19" x14ac:dyDescent="0.3">
      <c r="B28" s="3" t="s">
        <v>99</v>
      </c>
      <c r="C28" s="85">
        <f>C27/SUM($C$27:$I$27)*$Q$22</f>
        <v>2.2743506493506498</v>
      </c>
      <c r="D28" s="85">
        <f t="shared" ref="D28:I28" si="5">D27/SUM($C$27:$I$27)*$Q$22</f>
        <v>0.36389610389610394</v>
      </c>
      <c r="E28" s="85">
        <f t="shared" si="5"/>
        <v>0.45487012987012987</v>
      </c>
      <c r="F28" s="85">
        <f t="shared" si="5"/>
        <v>0.22743506493506493</v>
      </c>
      <c r="G28" s="85">
        <f t="shared" si="5"/>
        <v>9.0974025974025985E-2</v>
      </c>
      <c r="H28" s="85">
        <f t="shared" si="5"/>
        <v>0</v>
      </c>
      <c r="I28" s="85">
        <f t="shared" si="5"/>
        <v>9.0974025974025985E-2</v>
      </c>
    </row>
    <row r="31" spans="2:19" ht="20.399999999999999" x14ac:dyDescent="0.3">
      <c r="C31" s="72" t="s">
        <v>86</v>
      </c>
      <c r="D31" s="73" t="s">
        <v>101</v>
      </c>
      <c r="E31" s="73" t="s">
        <v>102</v>
      </c>
      <c r="F31" s="73" t="s">
        <v>105</v>
      </c>
      <c r="G31" s="73" t="s">
        <v>106</v>
      </c>
      <c r="H31" s="72" t="s">
        <v>108</v>
      </c>
      <c r="I31" s="72" t="s">
        <v>97</v>
      </c>
      <c r="J31" s="70" t="s">
        <v>107</v>
      </c>
      <c r="K31" s="70" t="s">
        <v>98</v>
      </c>
      <c r="L31" s="72" t="s">
        <v>89</v>
      </c>
      <c r="M31" s="72" t="s">
        <v>90</v>
      </c>
      <c r="N31" s="72" t="s">
        <v>91</v>
      </c>
      <c r="O31" s="72" t="s">
        <v>92</v>
      </c>
      <c r="P31" s="72" t="s">
        <v>93</v>
      </c>
      <c r="Q31" s="72" t="s">
        <v>94</v>
      </c>
    </row>
    <row r="32" spans="2:19" x14ac:dyDescent="0.3">
      <c r="B32" s="3" t="s">
        <v>110</v>
      </c>
      <c r="C32" s="35">
        <f>C22+C28</f>
        <v>6.6453506493506485</v>
      </c>
      <c r="D32" s="35">
        <f t="shared" ref="D32:P32" si="6">D22+D28</f>
        <v>2.549396103896103</v>
      </c>
      <c r="E32" s="35">
        <f t="shared" si="6"/>
        <v>2.6403701298701292</v>
      </c>
      <c r="F32" s="35">
        <f t="shared" si="6"/>
        <v>1.5387350649350646</v>
      </c>
      <c r="G32" s="35">
        <f t="shared" si="6"/>
        <v>1.8393740259740254</v>
      </c>
      <c r="H32" s="35">
        <f t="shared" si="6"/>
        <v>3.496799999999999</v>
      </c>
      <c r="I32" s="35">
        <f t="shared" si="6"/>
        <v>2.2764740259740255</v>
      </c>
      <c r="J32" s="35">
        <f t="shared" si="6"/>
        <v>1.7483999999999995</v>
      </c>
      <c r="K32" s="35">
        <f t="shared" si="6"/>
        <v>2.6225999999999989</v>
      </c>
      <c r="L32" s="35">
        <f t="shared" si="6"/>
        <v>0.68999999999999884</v>
      </c>
      <c r="M32" s="35">
        <f t="shared" si="6"/>
        <v>4.0200000000000005</v>
      </c>
      <c r="N32" s="35">
        <f t="shared" si="6"/>
        <v>2.4299999999999997</v>
      </c>
      <c r="O32" s="35">
        <f t="shared" si="6"/>
        <v>1.1674999999999998</v>
      </c>
      <c r="P32" s="35">
        <f t="shared" si="6"/>
        <v>3.5499999999999994</v>
      </c>
      <c r="Q32" s="89">
        <v>0</v>
      </c>
      <c r="R32" s="33">
        <f>SUM(C32:Q32)</f>
        <v>37.214999999999982</v>
      </c>
    </row>
    <row r="35" spans="1:18" x14ac:dyDescent="0.3">
      <c r="A35" s="17"/>
      <c r="B35" s="2" t="s">
        <v>133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7" spans="1:18" x14ac:dyDescent="0.3">
      <c r="B37" s="1" t="s">
        <v>111</v>
      </c>
    </row>
    <row r="38" spans="1:18" ht="43.2" x14ac:dyDescent="0.3">
      <c r="B38" s="30"/>
      <c r="C38" s="86" t="s">
        <v>86</v>
      </c>
      <c r="D38" s="87" t="s">
        <v>101</v>
      </c>
      <c r="E38" s="87" t="s">
        <v>102</v>
      </c>
      <c r="F38" s="87" t="s">
        <v>105</v>
      </c>
      <c r="G38" s="87" t="s">
        <v>106</v>
      </c>
      <c r="H38" s="86" t="s">
        <v>108</v>
      </c>
      <c r="I38" s="86" t="s">
        <v>97</v>
      </c>
      <c r="J38" s="86" t="s">
        <v>89</v>
      </c>
      <c r="K38" s="88" t="s">
        <v>118</v>
      </c>
      <c r="L38" s="88" t="s">
        <v>107</v>
      </c>
      <c r="M38" s="86" t="s">
        <v>132</v>
      </c>
      <c r="N38" s="88" t="s">
        <v>134</v>
      </c>
      <c r="O38" s="88" t="s">
        <v>98</v>
      </c>
      <c r="P38" s="88" t="s">
        <v>128</v>
      </c>
      <c r="Q38" s="88" t="s">
        <v>129</v>
      </c>
      <c r="R38" s="88" t="s">
        <v>130</v>
      </c>
    </row>
    <row r="39" spans="1:18" x14ac:dyDescent="0.3">
      <c r="B39" s="30" t="s">
        <v>112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94"/>
      <c r="Q39" s="30"/>
      <c r="R39" s="49"/>
    </row>
    <row r="40" spans="1:18" x14ac:dyDescent="0.3">
      <c r="B40" s="30" t="s">
        <v>113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94"/>
      <c r="Q40" s="30"/>
      <c r="R40" s="49"/>
    </row>
    <row r="41" spans="1:18" x14ac:dyDescent="0.3">
      <c r="B41" s="30" t="s">
        <v>114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94"/>
      <c r="Q41" s="30"/>
      <c r="R41" s="49"/>
    </row>
    <row r="42" spans="1:18" x14ac:dyDescent="0.3">
      <c r="B42" s="30" t="s">
        <v>108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94"/>
      <c r="Q42" s="30"/>
      <c r="R42" s="49"/>
    </row>
    <row r="43" spans="1:18" x14ac:dyDescent="0.3">
      <c r="B43" s="30" t="s">
        <v>115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94"/>
      <c r="Q43" s="30"/>
      <c r="R43" s="49"/>
    </row>
    <row r="44" spans="1:18" x14ac:dyDescent="0.3">
      <c r="B44" s="30" t="s">
        <v>116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94"/>
      <c r="Q44" s="30"/>
      <c r="R44" s="49"/>
    </row>
    <row r="45" spans="1:18" x14ac:dyDescent="0.3">
      <c r="B45" s="90" t="s">
        <v>72</v>
      </c>
      <c r="C45" s="90"/>
      <c r="D45" s="90"/>
      <c r="E45" s="90"/>
      <c r="F45" s="90"/>
      <c r="G45" s="90"/>
      <c r="H45" s="90"/>
      <c r="I45" s="90"/>
      <c r="J45" s="91">
        <f>C7-K7</f>
        <v>37.779999999999987</v>
      </c>
      <c r="K45" s="91"/>
      <c r="L45" s="90"/>
      <c r="M45" s="90"/>
      <c r="N45" s="90"/>
      <c r="O45" s="90"/>
      <c r="P45" s="92">
        <f>SUM(C45:O45)</f>
        <v>37.779999999999987</v>
      </c>
      <c r="Q45" s="91">
        <f>K7</f>
        <v>2.1449999999999987</v>
      </c>
      <c r="R45" s="92">
        <f>SUM(P45:Q45)</f>
        <v>39.924999999999983</v>
      </c>
    </row>
    <row r="46" spans="1:18" x14ac:dyDescent="0.3">
      <c r="B46" s="30" t="s">
        <v>117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>
        <f>M65</f>
        <v>54.02</v>
      </c>
      <c r="N46" s="30"/>
      <c r="O46" s="30"/>
      <c r="P46" s="94"/>
      <c r="Q46" s="30"/>
      <c r="R46" s="49"/>
    </row>
    <row r="47" spans="1:18" x14ac:dyDescent="0.3">
      <c r="B47" s="30" t="s">
        <v>118</v>
      </c>
      <c r="C47" s="30"/>
      <c r="D47" s="30"/>
      <c r="E47" s="30"/>
      <c r="F47" s="30"/>
      <c r="G47" s="30"/>
      <c r="H47" s="30"/>
      <c r="I47" s="30"/>
      <c r="J47" s="30"/>
      <c r="K47" s="95">
        <f>K65</f>
        <v>22.549999999999997</v>
      </c>
      <c r="L47" s="30"/>
      <c r="M47" s="30"/>
      <c r="N47" s="30"/>
      <c r="O47" s="30"/>
      <c r="P47" s="94"/>
      <c r="Q47" s="30"/>
      <c r="R47" s="49"/>
    </row>
    <row r="48" spans="1:18" x14ac:dyDescent="0.3">
      <c r="B48" s="30" t="s">
        <v>98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>
        <f>N65</f>
        <v>22.43</v>
      </c>
      <c r="O48" s="30"/>
      <c r="P48" s="94"/>
      <c r="Q48" s="30"/>
      <c r="R48" s="49"/>
    </row>
    <row r="49" spans="2:23" x14ac:dyDescent="0.3">
      <c r="B49" s="49" t="s">
        <v>121</v>
      </c>
      <c r="C49" s="49"/>
      <c r="D49" s="49"/>
      <c r="E49" s="49"/>
      <c r="F49" s="49"/>
      <c r="G49" s="49"/>
      <c r="H49" s="49"/>
      <c r="I49" s="49"/>
      <c r="J49" s="49"/>
      <c r="K49" s="94">
        <f>SUM(K39:K48)</f>
        <v>22.549999999999997</v>
      </c>
      <c r="L49" s="49"/>
      <c r="M49" s="94">
        <f>SUM(M39:M48)</f>
        <v>54.02</v>
      </c>
      <c r="N49" s="94">
        <f>SUM(N39:N48)</f>
        <v>22.43</v>
      </c>
      <c r="O49" s="49"/>
      <c r="P49" s="94"/>
      <c r="Q49" s="49"/>
      <c r="R49" s="49"/>
    </row>
    <row r="51" spans="2:23" x14ac:dyDescent="0.3">
      <c r="B51" s="1" t="s">
        <v>122</v>
      </c>
    </row>
    <row r="52" spans="2:23" ht="43.2" x14ac:dyDescent="0.3">
      <c r="B52" s="30"/>
      <c r="C52" s="86" t="s">
        <v>86</v>
      </c>
      <c r="D52" s="87" t="s">
        <v>101</v>
      </c>
      <c r="E52" s="87" t="s">
        <v>102</v>
      </c>
      <c r="F52" s="87" t="s">
        <v>105</v>
      </c>
      <c r="G52" s="87" t="s">
        <v>106</v>
      </c>
      <c r="H52" s="86" t="s">
        <v>108</v>
      </c>
      <c r="I52" s="86" t="s">
        <v>97</v>
      </c>
      <c r="J52" s="86" t="s">
        <v>89</v>
      </c>
      <c r="K52" s="88" t="s">
        <v>118</v>
      </c>
      <c r="L52" s="88" t="s">
        <v>107</v>
      </c>
      <c r="M52" s="86" t="s">
        <v>132</v>
      </c>
      <c r="N52" s="88" t="s">
        <v>134</v>
      </c>
      <c r="O52" s="88" t="s">
        <v>98</v>
      </c>
      <c r="P52" s="88" t="s">
        <v>123</v>
      </c>
      <c r="Q52" s="88" t="s">
        <v>124</v>
      </c>
      <c r="R52" s="88" t="s">
        <v>91</v>
      </c>
      <c r="S52" s="88" t="s">
        <v>125</v>
      </c>
      <c r="T52" s="88" t="s">
        <v>126</v>
      </c>
      <c r="U52" s="88" t="s">
        <v>127</v>
      </c>
      <c r="V52" s="88" t="s">
        <v>131</v>
      </c>
      <c r="W52" s="88" t="s">
        <v>119</v>
      </c>
    </row>
    <row r="53" spans="2:23" x14ac:dyDescent="0.3">
      <c r="B53" s="30" t="s">
        <v>112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94"/>
      <c r="Q53" s="3"/>
      <c r="R53" s="3"/>
      <c r="S53" s="3"/>
      <c r="T53" s="3"/>
      <c r="U53" s="3"/>
      <c r="V53" s="3"/>
      <c r="W53" s="94"/>
    </row>
    <row r="54" spans="2:23" x14ac:dyDescent="0.3">
      <c r="B54" s="30" t="s">
        <v>113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94"/>
      <c r="Q54" s="3"/>
      <c r="R54" s="3"/>
      <c r="S54" s="3"/>
      <c r="T54" s="3"/>
      <c r="U54" s="3"/>
      <c r="V54" s="3"/>
      <c r="W54" s="94"/>
    </row>
    <row r="55" spans="2:23" x14ac:dyDescent="0.3">
      <c r="B55" s="30" t="s">
        <v>114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94"/>
      <c r="Q55" s="3"/>
      <c r="R55" s="3"/>
      <c r="S55" s="3"/>
      <c r="T55" s="3"/>
      <c r="U55" s="3"/>
      <c r="V55" s="3"/>
      <c r="W55" s="94"/>
    </row>
    <row r="56" spans="2:23" x14ac:dyDescent="0.3">
      <c r="B56" s="30" t="s">
        <v>108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94"/>
      <c r="Q56" s="3"/>
      <c r="R56" s="3"/>
      <c r="S56" s="3"/>
      <c r="T56" s="3"/>
      <c r="U56" s="3"/>
      <c r="V56" s="3"/>
      <c r="W56" s="94"/>
    </row>
    <row r="57" spans="2:23" x14ac:dyDescent="0.3">
      <c r="B57" s="30" t="s">
        <v>115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94"/>
      <c r="Q57" s="3"/>
      <c r="R57" s="3"/>
      <c r="S57" s="3"/>
      <c r="T57" s="3"/>
      <c r="U57" s="3"/>
      <c r="V57" s="3"/>
      <c r="W57" s="94"/>
    </row>
    <row r="58" spans="2:23" x14ac:dyDescent="0.3">
      <c r="B58" s="30" t="s">
        <v>116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94"/>
      <c r="Q58" s="3"/>
      <c r="R58" s="3"/>
      <c r="S58" s="3"/>
      <c r="T58" s="3"/>
      <c r="U58" s="3"/>
      <c r="V58" s="3"/>
      <c r="W58" s="94"/>
    </row>
    <row r="59" spans="2:23" x14ac:dyDescent="0.3">
      <c r="B59" s="90" t="s">
        <v>72</v>
      </c>
      <c r="C59" s="93">
        <f t="shared" ref="C59:I59" si="7">C32</f>
        <v>6.6453506493506485</v>
      </c>
      <c r="D59" s="93">
        <f t="shared" si="7"/>
        <v>2.549396103896103</v>
      </c>
      <c r="E59" s="93">
        <f t="shared" si="7"/>
        <v>2.6403701298701292</v>
      </c>
      <c r="F59" s="93">
        <f t="shared" si="7"/>
        <v>1.5387350649350646</v>
      </c>
      <c r="G59" s="93">
        <f t="shared" si="7"/>
        <v>1.8393740259740254</v>
      </c>
      <c r="H59" s="93">
        <f t="shared" si="7"/>
        <v>3.496799999999999</v>
      </c>
      <c r="I59" s="93">
        <f t="shared" si="7"/>
        <v>2.2764740259740255</v>
      </c>
      <c r="J59" s="93">
        <f>L32</f>
        <v>0.68999999999999884</v>
      </c>
      <c r="K59" s="93">
        <f>P32</f>
        <v>3.5499999999999994</v>
      </c>
      <c r="L59" s="93">
        <f>J32</f>
        <v>1.7483999999999995</v>
      </c>
      <c r="M59" s="93">
        <f>M32</f>
        <v>4.0200000000000005</v>
      </c>
      <c r="N59" s="93">
        <f>N32</f>
        <v>2.4299999999999997</v>
      </c>
      <c r="O59" s="93">
        <f>K32</f>
        <v>2.6225999999999989</v>
      </c>
      <c r="P59" s="92">
        <f>SUM(C59:O59)</f>
        <v>36.047499999999992</v>
      </c>
      <c r="Q59" s="93">
        <f>O32</f>
        <v>1.1674999999999998</v>
      </c>
      <c r="R59" s="93"/>
      <c r="S59" s="93"/>
      <c r="T59" s="93"/>
      <c r="U59" s="93"/>
      <c r="V59" s="93">
        <f>J7</f>
        <v>2.71</v>
      </c>
      <c r="W59" s="92">
        <f>SUM(P59:V59)</f>
        <v>39.92499999999999</v>
      </c>
    </row>
    <row r="60" spans="2:23" x14ac:dyDescent="0.3">
      <c r="B60" s="30" t="s">
        <v>117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94"/>
      <c r="Q60" s="3"/>
      <c r="R60" s="3"/>
      <c r="S60" s="96">
        <f>M65</f>
        <v>54.02</v>
      </c>
      <c r="T60" s="3"/>
      <c r="U60" s="3"/>
      <c r="V60" s="3"/>
      <c r="W60" s="94"/>
    </row>
    <row r="61" spans="2:23" x14ac:dyDescent="0.3">
      <c r="B61" s="30" t="s">
        <v>118</v>
      </c>
      <c r="C61" s="3"/>
      <c r="D61" s="3"/>
      <c r="E61" s="3"/>
      <c r="F61" s="3"/>
      <c r="G61" s="3"/>
      <c r="H61" s="3"/>
      <c r="I61" s="3"/>
      <c r="J61" s="3"/>
      <c r="K61" s="3">
        <v>6</v>
      </c>
      <c r="L61" s="3"/>
      <c r="M61" s="3"/>
      <c r="N61" s="3"/>
      <c r="O61" s="3"/>
      <c r="P61" s="94"/>
      <c r="Q61" s="95">
        <f>K65</f>
        <v>22.549999999999997</v>
      </c>
      <c r="R61" s="3"/>
      <c r="S61" s="3"/>
      <c r="T61" s="3"/>
      <c r="U61" s="3"/>
      <c r="V61" s="3"/>
      <c r="W61" s="94"/>
    </row>
    <row r="62" spans="2:23" x14ac:dyDescent="0.3">
      <c r="B62" s="30" t="s">
        <v>98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94"/>
      <c r="Q62" s="3"/>
      <c r="R62" s="97">
        <f>N65</f>
        <v>22.43</v>
      </c>
      <c r="S62" s="3"/>
      <c r="T62" s="3"/>
      <c r="U62" s="3"/>
      <c r="V62" s="3"/>
      <c r="W62" s="94"/>
    </row>
    <row r="63" spans="2:23" x14ac:dyDescent="0.3">
      <c r="B63" s="49" t="s">
        <v>119</v>
      </c>
      <c r="C63" s="40"/>
      <c r="D63" s="40"/>
      <c r="E63" s="40"/>
      <c r="F63" s="40"/>
      <c r="G63" s="40"/>
      <c r="H63" s="40"/>
      <c r="I63" s="40"/>
      <c r="J63" s="40"/>
      <c r="K63" s="40">
        <f>SUM(K53:K62)</f>
        <v>9.5499999999999989</v>
      </c>
      <c r="L63" s="40"/>
      <c r="M63" s="40">
        <f>SUM(M53:M62)</f>
        <v>4.0200000000000005</v>
      </c>
      <c r="N63" s="40">
        <f>SUM(N53:N62)</f>
        <v>2.4299999999999997</v>
      </c>
      <c r="O63" s="40"/>
      <c r="P63" s="94"/>
      <c r="Q63" s="40"/>
      <c r="R63" s="40"/>
      <c r="S63" s="40"/>
      <c r="T63" s="40"/>
      <c r="U63" s="40"/>
      <c r="V63" s="40"/>
      <c r="W63" s="94"/>
    </row>
    <row r="64" spans="2:23" x14ac:dyDescent="0.3">
      <c r="B64" s="30" t="s">
        <v>120</v>
      </c>
      <c r="C64" s="3"/>
      <c r="D64" s="3"/>
      <c r="E64" s="3"/>
      <c r="F64" s="3"/>
      <c r="G64" s="3"/>
      <c r="H64" s="3"/>
      <c r="I64" s="3"/>
      <c r="J64" s="3"/>
      <c r="K64" s="3">
        <v>13</v>
      </c>
      <c r="L64" s="3"/>
      <c r="M64" s="3">
        <v>50</v>
      </c>
      <c r="N64" s="3">
        <v>20</v>
      </c>
      <c r="O64" s="3"/>
      <c r="P64" s="40"/>
      <c r="Q64" s="3"/>
      <c r="R64" s="3"/>
      <c r="S64" s="3"/>
      <c r="T64" s="3"/>
      <c r="U64" s="3"/>
      <c r="V64" s="3"/>
      <c r="W64" s="40"/>
    </row>
    <row r="65" spans="2:23" x14ac:dyDescent="0.3">
      <c r="B65" s="94" t="s">
        <v>121</v>
      </c>
      <c r="C65" s="94"/>
      <c r="D65" s="94"/>
      <c r="E65" s="94"/>
      <c r="F65" s="94"/>
      <c r="G65" s="94"/>
      <c r="H65" s="94"/>
      <c r="I65" s="94"/>
      <c r="J65" s="94"/>
      <c r="K65" s="98">
        <f>SUM(K63:K64)</f>
        <v>22.549999999999997</v>
      </c>
      <c r="L65" s="94"/>
      <c r="M65" s="99">
        <f>SUM(M63:M64)</f>
        <v>54.02</v>
      </c>
      <c r="N65" s="100">
        <f>SUM(N63:N64)</f>
        <v>22.43</v>
      </c>
      <c r="O65" s="94"/>
      <c r="P65" s="94"/>
      <c r="Q65" s="94"/>
      <c r="R65" s="94"/>
      <c r="S65" s="94"/>
      <c r="T65" s="94"/>
      <c r="U65" s="94"/>
      <c r="V65" s="94"/>
      <c r="W65" s="94"/>
    </row>
  </sheetData>
  <mergeCells count="12">
    <mergeCell ref="F16:H16"/>
    <mergeCell ref="J16:K16"/>
    <mergeCell ref="F15:H15"/>
    <mergeCell ref="J15:K15"/>
    <mergeCell ref="F17:H17"/>
    <mergeCell ref="J17:K17"/>
    <mergeCell ref="D10:H10"/>
    <mergeCell ref="I10:K10"/>
    <mergeCell ref="D11:H11"/>
    <mergeCell ref="I11:K11"/>
    <mergeCell ref="D12:H12"/>
    <mergeCell ref="I12:K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Chesca</dc:creator>
  <cp:lastModifiedBy>Chesca</cp:lastModifiedBy>
  <dcterms:created xsi:type="dcterms:W3CDTF">2020-01-14T11:52:42Z</dcterms:created>
  <dcterms:modified xsi:type="dcterms:W3CDTF">2020-01-27T10:00:14Z</dcterms:modified>
</cp:coreProperties>
</file>